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biller.NIELSEN-INC\Desktop\"/>
    </mc:Choice>
  </mc:AlternateContent>
  <xr:revisionPtr revIDLastSave="0" documentId="13_ncr:1_{2914E276-97EC-452B-9302-2F4BA15A8506}" xr6:coauthVersionLast="36" xr6:coauthVersionMax="36" xr10:uidLastSave="{00000000-0000-0000-0000-000000000000}"/>
  <bookViews>
    <workbookView xWindow="480" yWindow="120" windowWidth="15720" windowHeight="11055" activeTab="6" xr2:uid="{00000000-000D-0000-FFFF-FFFF00000000}"/>
  </bookViews>
  <sheets>
    <sheet name="MASTER LIST OF PROJECTS" sheetId="1" r:id="rId1"/>
    <sheet name="FORMER DATA vs. NEW DATA" sheetId="3" r:id="rId2"/>
    <sheet name="YEAR TOTALS (O.M.% &amp; $)" sheetId="2" r:id="rId3"/>
    <sheet name="COLLEGE TOTALS" sheetId="4" r:id="rId4"/>
    <sheet name="COLLEGE PROJECTS BY YEAR" sheetId="5" r:id="rId5"/>
    <sheet name="BUILDER FACT SHEET" sheetId="7" r:id="rId6"/>
    <sheet name="BUILDER RANKINGS" sheetId="9" r:id="rId7"/>
  </sheets>
  <calcPr calcId="191029"/>
</workbook>
</file>

<file path=xl/calcChain.xml><?xml version="1.0" encoding="utf-8"?>
<calcChain xmlns="http://schemas.openxmlformats.org/spreadsheetml/2006/main">
  <c r="I28" i="4" l="1"/>
  <c r="I27" i="4"/>
  <c r="I29" i="4" l="1"/>
  <c r="B61" i="9" l="1"/>
  <c r="B62" i="7"/>
  <c r="B61" i="7"/>
  <c r="B60" i="7"/>
  <c r="B59" i="7"/>
  <c r="B58" i="7"/>
  <c r="B57" i="7"/>
  <c r="B56" i="7"/>
  <c r="B55" i="7"/>
  <c r="B54" i="7"/>
  <c r="B53" i="7"/>
  <c r="B52" i="7"/>
  <c r="B51" i="7"/>
  <c r="B50" i="7"/>
  <c r="B49" i="7"/>
  <c r="B48" i="7"/>
  <c r="B47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31" i="7"/>
  <c r="B30" i="7"/>
  <c r="B29" i="7"/>
  <c r="B28" i="7"/>
  <c r="B27" i="7"/>
  <c r="B26" i="7"/>
  <c r="B25" i="7"/>
  <c r="B24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8" i="7"/>
  <c r="B7" i="7"/>
  <c r="B6" i="7"/>
  <c r="B5" i="7"/>
  <c r="B4" i="7"/>
  <c r="B3" i="7"/>
  <c r="B2" i="7"/>
  <c r="C54" i="7"/>
  <c r="C61" i="9" s="1"/>
  <c r="H151" i="4"/>
  <c r="G151" i="4"/>
  <c r="G171" i="4"/>
  <c r="G167" i="4"/>
  <c r="G155" i="4"/>
  <c r="G150" i="4"/>
  <c r="G149" i="4"/>
  <c r="G148" i="4"/>
  <c r="G147" i="4"/>
  <c r="G146" i="4"/>
  <c r="G143" i="4"/>
  <c r="G142" i="4"/>
  <c r="G140" i="4"/>
  <c r="G139" i="4"/>
  <c r="G138" i="4"/>
  <c r="G137" i="4"/>
  <c r="G136" i="4"/>
  <c r="G135" i="4"/>
  <c r="G132" i="4"/>
  <c r="G131" i="4"/>
  <c r="G130" i="4"/>
  <c r="G124" i="4"/>
  <c r="K19" i="3"/>
  <c r="F26" i="7" l="1"/>
  <c r="F20" i="7"/>
  <c r="F54" i="7"/>
  <c r="F44" i="7"/>
  <c r="F8" i="7"/>
  <c r="F55" i="7"/>
  <c r="F25" i="7"/>
  <c r="F43" i="7"/>
  <c r="F7" i="7"/>
  <c r="F38" i="7"/>
  <c r="F3" i="7"/>
  <c r="F56" i="7"/>
  <c r="F13" i="7"/>
  <c r="F61" i="7"/>
  <c r="F49" i="7"/>
  <c r="F32" i="7"/>
  <c r="F14" i="7"/>
  <c r="F62" i="7"/>
  <c r="F50" i="7"/>
  <c r="F37" i="7"/>
  <c r="F19" i="7"/>
  <c r="F60" i="7"/>
  <c r="F48" i="7"/>
  <c r="F31" i="7"/>
  <c r="F42" i="7"/>
  <c r="F24" i="7"/>
  <c r="F6" i="7"/>
  <c r="F59" i="7"/>
  <c r="F53" i="7"/>
  <c r="F47" i="7"/>
  <c r="F41" i="7"/>
  <c r="F35" i="7"/>
  <c r="F29" i="7"/>
  <c r="F23" i="7"/>
  <c r="F17" i="7"/>
  <c r="F11" i="7"/>
  <c r="F5" i="7"/>
  <c r="F30" i="7"/>
  <c r="F12" i="7"/>
  <c r="F58" i="7"/>
  <c r="F52" i="7"/>
  <c r="F46" i="7"/>
  <c r="F40" i="7"/>
  <c r="F34" i="7"/>
  <c r="F28" i="7"/>
  <c r="F22" i="7"/>
  <c r="F16" i="7"/>
  <c r="F10" i="7"/>
  <c r="F4" i="7"/>
  <c r="F36" i="7"/>
  <c r="F18" i="7"/>
  <c r="F57" i="7"/>
  <c r="F51" i="7"/>
  <c r="F45" i="7"/>
  <c r="F39" i="7"/>
  <c r="F33" i="7"/>
  <c r="F27" i="7"/>
  <c r="F21" i="7"/>
  <c r="F15" i="7"/>
  <c r="F9" i="7"/>
  <c r="C179" i="3" l="1"/>
  <c r="C226" i="3"/>
  <c r="C277" i="3"/>
  <c r="C227" i="3" l="1"/>
  <c r="C278" i="3" s="1"/>
  <c r="C417" i="5"/>
  <c r="G410" i="5"/>
  <c r="H410" i="5" s="1"/>
  <c r="E410" i="5"/>
  <c r="G407" i="5"/>
  <c r="H407" i="5" s="1"/>
  <c r="E407" i="5"/>
  <c r="G404" i="5"/>
  <c r="H404" i="5" s="1"/>
  <c r="E404" i="5"/>
  <c r="G373" i="5"/>
  <c r="H373" i="5" s="1"/>
  <c r="E373" i="5"/>
  <c r="G367" i="5"/>
  <c r="H367" i="5" s="1"/>
  <c r="E367" i="5"/>
  <c r="G364" i="5"/>
  <c r="H364" i="5" s="1"/>
  <c r="E364" i="5"/>
  <c r="G361" i="5"/>
  <c r="H361" i="5" s="1"/>
  <c r="E361" i="5"/>
  <c r="G358" i="5"/>
  <c r="H358" i="5" s="1"/>
  <c r="E358" i="5"/>
  <c r="G355" i="5"/>
  <c r="H355" i="5" s="1"/>
  <c r="E355" i="5"/>
  <c r="G337" i="5"/>
  <c r="H337" i="5" s="1"/>
  <c r="E337" i="5"/>
  <c r="G333" i="5"/>
  <c r="H333" i="5" s="1"/>
  <c r="E333" i="5"/>
  <c r="G326" i="5"/>
  <c r="H326" i="5" s="1"/>
  <c r="E326" i="5"/>
  <c r="G309" i="5"/>
  <c r="H309" i="5" s="1"/>
  <c r="E309" i="5"/>
  <c r="G298" i="5"/>
  <c r="E298" i="5"/>
  <c r="G295" i="5"/>
  <c r="H295" i="5" s="1"/>
  <c r="E295" i="5"/>
  <c r="G288" i="5"/>
  <c r="E288" i="5"/>
  <c r="I293" i="4"/>
  <c r="F293" i="4"/>
  <c r="L293" i="4" s="1"/>
  <c r="I268" i="4"/>
  <c r="F268" i="4"/>
  <c r="L268" i="4" s="1"/>
  <c r="I258" i="4"/>
  <c r="F258" i="4"/>
  <c r="L258" i="4" s="1"/>
  <c r="I234" i="4"/>
  <c r="F234" i="4"/>
  <c r="L234" i="4" s="1"/>
  <c r="I208" i="4"/>
  <c r="F208" i="4"/>
  <c r="L208" i="4" s="1"/>
  <c r="I177" i="4"/>
  <c r="F177" i="4"/>
  <c r="I173" i="4"/>
  <c r="F92" i="4"/>
  <c r="I79" i="4"/>
  <c r="F79" i="4"/>
  <c r="L79" i="4" s="1"/>
  <c r="I59" i="4"/>
  <c r="I14" i="4"/>
  <c r="F14" i="4"/>
  <c r="I10" i="9" l="1"/>
  <c r="I9" i="9"/>
  <c r="I8" i="9"/>
  <c r="I7" i="9"/>
  <c r="B56" i="9"/>
  <c r="B19" i="9"/>
  <c r="C22" i="7"/>
  <c r="B48" i="9"/>
  <c r="C47" i="7"/>
  <c r="B54" i="9"/>
  <c r="C3" i="7"/>
  <c r="F173" i="4"/>
  <c r="L173" i="4" s="1"/>
  <c r="E384" i="5"/>
  <c r="G384" i="5"/>
  <c r="H384" i="5" s="1"/>
  <c r="E350" i="5"/>
  <c r="G350" i="5"/>
  <c r="H350" i="5" s="1"/>
  <c r="E319" i="5"/>
  <c r="G319" i="5"/>
  <c r="H319" i="5" s="1"/>
  <c r="H138" i="4"/>
  <c r="H139" i="4"/>
  <c r="H136" i="4"/>
  <c r="H148" i="4"/>
  <c r="H120" i="4"/>
  <c r="G120" i="4"/>
  <c r="H171" i="4"/>
  <c r="H167" i="4"/>
  <c r="H155" i="4"/>
  <c r="H150" i="4"/>
  <c r="H149" i="4"/>
  <c r="H147" i="4"/>
  <c r="H146" i="4"/>
  <c r="H143" i="4"/>
  <c r="H142" i="4"/>
  <c r="H140" i="4"/>
  <c r="H137" i="4"/>
  <c r="H135" i="4"/>
  <c r="H132" i="4"/>
  <c r="H131" i="4"/>
  <c r="H130" i="4"/>
  <c r="H125" i="4"/>
  <c r="H124" i="4"/>
  <c r="C31" i="7"/>
  <c r="G390" i="5"/>
  <c r="H390" i="5" s="1"/>
  <c r="E390" i="5"/>
  <c r="E346" i="5"/>
  <c r="G346" i="5"/>
  <c r="H346" i="5" s="1"/>
  <c r="H70" i="4"/>
  <c r="G70" i="4"/>
  <c r="H69" i="4"/>
  <c r="G69" i="4"/>
  <c r="H67" i="4"/>
  <c r="H66" i="4"/>
  <c r="H65" i="4"/>
  <c r="H64" i="4"/>
  <c r="H63" i="4"/>
  <c r="H62" i="4"/>
  <c r="H61" i="4"/>
  <c r="H60" i="4"/>
  <c r="I72" i="4"/>
  <c r="F72" i="4"/>
  <c r="L72" i="4" s="1"/>
  <c r="C61" i="7"/>
  <c r="B60" i="9"/>
  <c r="E277" i="2"/>
  <c r="E271" i="2"/>
  <c r="E330" i="5"/>
  <c r="G330" i="5"/>
  <c r="H330" i="5" s="1"/>
  <c r="E393" i="5"/>
  <c r="G393" i="5"/>
  <c r="H393" i="5" s="1"/>
  <c r="G377" i="5"/>
  <c r="H377" i="5" s="1"/>
  <c r="E377" i="5"/>
  <c r="H252" i="4"/>
  <c r="G252" i="4"/>
  <c r="G242" i="4"/>
  <c r="G251" i="4"/>
  <c r="G246" i="4"/>
  <c r="H256" i="4"/>
  <c r="H254" i="4"/>
  <c r="H251" i="4"/>
  <c r="H249" i="4"/>
  <c r="H247" i="4"/>
  <c r="H246" i="4"/>
  <c r="H242" i="4"/>
  <c r="H239" i="4"/>
  <c r="H237" i="4"/>
  <c r="H236" i="4"/>
  <c r="H235" i="4"/>
  <c r="E303" i="5"/>
  <c r="G303" i="5"/>
  <c r="H303" i="5" s="1"/>
  <c r="G84" i="4"/>
  <c r="G90" i="4"/>
  <c r="H80" i="4"/>
  <c r="H84" i="4"/>
  <c r="H86" i="4"/>
  <c r="H90" i="4"/>
  <c r="I92" i="4"/>
  <c r="E240" i="2"/>
  <c r="F277" i="3"/>
  <c r="G93" i="1"/>
  <c r="I267" i="7"/>
  <c r="M267" i="7"/>
  <c r="E414" i="5"/>
  <c r="E401" i="5"/>
  <c r="E387" i="5"/>
  <c r="E370" i="5"/>
  <c r="G414" i="5"/>
  <c r="H414" i="5" s="1"/>
  <c r="G387" i="5"/>
  <c r="H387" i="5" s="1"/>
  <c r="G401" i="5"/>
  <c r="H401" i="5" s="1"/>
  <c r="G370" i="5"/>
  <c r="H370" i="5" s="1"/>
  <c r="H282" i="4"/>
  <c r="G282" i="4"/>
  <c r="G278" i="4"/>
  <c r="G291" i="4"/>
  <c r="G273" i="4"/>
  <c r="H291" i="4"/>
  <c r="H286" i="4"/>
  <c r="H281" i="4"/>
  <c r="H280" i="4"/>
  <c r="H278" i="4"/>
  <c r="H273" i="4"/>
  <c r="H271" i="4"/>
  <c r="H270" i="4"/>
  <c r="H269" i="4"/>
  <c r="F287" i="1"/>
  <c r="F286" i="1"/>
  <c r="G285" i="1"/>
  <c r="G397" i="5"/>
  <c r="H397" i="5" s="1"/>
  <c r="E397" i="5"/>
  <c r="C48" i="9" l="1"/>
  <c r="C60" i="9"/>
  <c r="C56" i="9"/>
  <c r="C19" i="9"/>
  <c r="C54" i="9"/>
  <c r="M150" i="4"/>
  <c r="M142" i="4"/>
  <c r="M135" i="4"/>
  <c r="M146" i="4"/>
  <c r="M149" i="4"/>
  <c r="M137" i="4"/>
  <c r="M140" i="4"/>
  <c r="M132" i="4"/>
  <c r="M148" i="4"/>
  <c r="M138" i="4"/>
  <c r="M151" i="4"/>
  <c r="M147" i="4"/>
  <c r="M136" i="4"/>
  <c r="M143" i="4"/>
  <c r="M131" i="4"/>
  <c r="M124" i="4"/>
  <c r="M139" i="4"/>
  <c r="M130" i="4"/>
  <c r="H293" i="4"/>
  <c r="J293" i="4" s="1"/>
  <c r="K293" i="4" s="1"/>
  <c r="H258" i="4"/>
  <c r="J258" i="4" s="1"/>
  <c r="K258" i="4" s="1"/>
  <c r="H173" i="4"/>
  <c r="J173" i="4" s="1"/>
  <c r="K173" i="4" s="1"/>
  <c r="M70" i="4"/>
  <c r="M69" i="4"/>
  <c r="M120" i="4"/>
  <c r="H72" i="4"/>
  <c r="M252" i="4"/>
  <c r="M282" i="4"/>
  <c r="G380" i="5"/>
  <c r="H380" i="5" s="1"/>
  <c r="E380" i="5"/>
  <c r="G312" i="5"/>
  <c r="H312" i="5" s="1"/>
  <c r="E312" i="5"/>
  <c r="G113" i="4"/>
  <c r="H117" i="4"/>
  <c r="G117" i="4"/>
  <c r="G110" i="4"/>
  <c r="I119" i="4"/>
  <c r="F119" i="4"/>
  <c r="M117" i="4" l="1"/>
  <c r="B2" i="9"/>
  <c r="B7" i="9"/>
  <c r="B11" i="9"/>
  <c r="B16" i="9"/>
  <c r="C39" i="9"/>
  <c r="B5" i="9"/>
  <c r="B3" i="9"/>
  <c r="G342" i="5"/>
  <c r="H342" i="5" s="1"/>
  <c r="E342" i="5"/>
  <c r="G48" i="4"/>
  <c r="G46" i="4"/>
  <c r="G34" i="4"/>
  <c r="H34" i="4"/>
  <c r="F59" i="4"/>
  <c r="L59" i="4" s="1"/>
  <c r="H38" i="4"/>
  <c r="G57" i="4"/>
  <c r="H46" i="4"/>
  <c r="H48" i="4"/>
  <c r="H52" i="4"/>
  <c r="H57" i="4"/>
  <c r="J3" i="9" l="1"/>
  <c r="B10" i="9"/>
  <c r="B14" i="9"/>
  <c r="M34" i="4"/>
  <c r="C39" i="7"/>
  <c r="H223" i="4"/>
  <c r="G223" i="4"/>
  <c r="C240" i="2"/>
  <c r="G240" i="2"/>
  <c r="H240" i="2" s="1"/>
  <c r="G211" i="4"/>
  <c r="C34" i="7"/>
  <c r="H220" i="4"/>
  <c r="G220" i="4"/>
  <c r="G216" i="4"/>
  <c r="B6" i="9"/>
  <c r="J7" i="9" s="1"/>
  <c r="H212" i="4"/>
  <c r="G212" i="4"/>
  <c r="G222" i="4"/>
  <c r="H222" i="4"/>
  <c r="H175" i="4"/>
  <c r="H174" i="4"/>
  <c r="G175" i="4"/>
  <c r="G174" i="1"/>
  <c r="G63" i="1"/>
  <c r="C60" i="7"/>
  <c r="C59" i="7"/>
  <c r="C58" i="7"/>
  <c r="C57" i="7"/>
  <c r="C56" i="7"/>
  <c r="C55" i="7"/>
  <c r="C53" i="7"/>
  <c r="C52" i="7"/>
  <c r="C51" i="7"/>
  <c r="C50" i="7"/>
  <c r="C49" i="7"/>
  <c r="C48" i="7"/>
  <c r="C46" i="7"/>
  <c r="C45" i="7"/>
  <c r="C44" i="7"/>
  <c r="C43" i="7"/>
  <c r="C42" i="7"/>
  <c r="C41" i="7"/>
  <c r="C40" i="7"/>
  <c r="C38" i="7"/>
  <c r="C37" i="7"/>
  <c r="C36" i="7"/>
  <c r="C35" i="7"/>
  <c r="C33" i="7"/>
  <c r="C32" i="7"/>
  <c r="C30" i="7"/>
  <c r="C29" i="7"/>
  <c r="C28" i="7"/>
  <c r="C27" i="7"/>
  <c r="C26" i="7"/>
  <c r="C25" i="7"/>
  <c r="C24" i="7"/>
  <c r="C23" i="7"/>
  <c r="C21" i="7"/>
  <c r="C20" i="7"/>
  <c r="C19" i="7"/>
  <c r="C18" i="7"/>
  <c r="C17" i="7"/>
  <c r="C16" i="7"/>
  <c r="C15" i="7"/>
  <c r="C14" i="7"/>
  <c r="C13" i="7"/>
  <c r="C12" i="7"/>
  <c r="C11" i="7"/>
  <c r="C10" i="7"/>
  <c r="C9" i="7"/>
  <c r="C8" i="7"/>
  <c r="C7" i="7"/>
  <c r="C6" i="7"/>
  <c r="C5" i="7"/>
  <c r="C2" i="7"/>
  <c r="C62" i="7"/>
  <c r="H22" i="4"/>
  <c r="G22" i="4"/>
  <c r="I33" i="4"/>
  <c r="F33" i="4"/>
  <c r="J19" i="3"/>
  <c r="J17" i="3"/>
  <c r="G261" i="1"/>
  <c r="G252" i="1"/>
  <c r="G229" i="1"/>
  <c r="G204" i="1"/>
  <c r="G171" i="1"/>
  <c r="G118" i="1"/>
  <c r="G107" i="1"/>
  <c r="G81" i="1"/>
  <c r="G75" i="1"/>
  <c r="G20" i="1"/>
  <c r="G38" i="1"/>
  <c r="H177" i="4" l="1"/>
  <c r="B13" i="9"/>
  <c r="C57" i="9"/>
  <c r="C41" i="9"/>
  <c r="C51" i="9"/>
  <c r="C15" i="9"/>
  <c r="C42" i="9"/>
  <c r="C18" i="9"/>
  <c r="C34" i="9"/>
  <c r="C25" i="9"/>
  <c r="C35" i="9"/>
  <c r="C10" i="9"/>
  <c r="C7" i="9"/>
  <c r="C20" i="9"/>
  <c r="C11" i="9"/>
  <c r="C6" i="9"/>
  <c r="K7" i="9" s="1"/>
  <c r="C14" i="9"/>
  <c r="C5" i="9"/>
  <c r="C26" i="9"/>
  <c r="C36" i="9"/>
  <c r="C30" i="9"/>
  <c r="C16" i="9"/>
  <c r="C9" i="9"/>
  <c r="K10" i="9" s="1"/>
  <c r="C12" i="9"/>
  <c r="C46" i="9"/>
  <c r="C52" i="9"/>
  <c r="C27" i="9"/>
  <c r="C58" i="9"/>
  <c r="C31" i="9"/>
  <c r="C8" i="9"/>
  <c r="C38" i="9"/>
  <c r="C22" i="9"/>
  <c r="C2" i="9"/>
  <c r="C40" i="9"/>
  <c r="C50" i="9"/>
  <c r="C37" i="9"/>
  <c r="C23" i="9"/>
  <c r="C29" i="9"/>
  <c r="C59" i="9"/>
  <c r="C55" i="9"/>
  <c r="C4" i="9"/>
  <c r="C17" i="9"/>
  <c r="C28" i="9"/>
  <c r="C49" i="9"/>
  <c r="C13" i="9"/>
  <c r="C33" i="9"/>
  <c r="C43" i="9"/>
  <c r="C53" i="9"/>
  <c r="C45" i="9"/>
  <c r="C32" i="9"/>
  <c r="C21" i="9"/>
  <c r="C24" i="9"/>
  <c r="C3" i="9"/>
  <c r="C44" i="9"/>
  <c r="C47" i="9"/>
  <c r="C62" i="9"/>
  <c r="B38" i="9"/>
  <c r="B23" i="9"/>
  <c r="B31" i="9"/>
  <c r="B36" i="9"/>
  <c r="M223" i="4"/>
  <c r="M175" i="4"/>
  <c r="M220" i="4"/>
  <c r="M22" i="4"/>
  <c r="C64" i="7"/>
  <c r="D46" i="7" s="1"/>
  <c r="D56" i="7" l="1"/>
  <c r="D42" i="7"/>
  <c r="D9" i="7"/>
  <c r="D57" i="7"/>
  <c r="D53" i="7"/>
  <c r="D27" i="7"/>
  <c r="D6" i="7"/>
  <c r="D32" i="7"/>
  <c r="D59" i="7"/>
  <c r="D34" i="7"/>
  <c r="D48" i="7"/>
  <c r="D51" i="7"/>
  <c r="D44" i="7"/>
  <c r="D45" i="7"/>
  <c r="D5" i="7"/>
  <c r="D23" i="7"/>
  <c r="D50" i="7"/>
  <c r="D58" i="7"/>
  <c r="D38" i="7"/>
  <c r="D15" i="7"/>
  <c r="D62" i="7"/>
  <c r="D11" i="7"/>
  <c r="D14" i="7"/>
  <c r="D41" i="7"/>
  <c r="D28" i="7"/>
  <c r="D13" i="7"/>
  <c r="D55" i="7"/>
  <c r="D7" i="7"/>
  <c r="D35" i="7"/>
  <c r="D49" i="7"/>
  <c r="D25" i="7"/>
  <c r="D43" i="7"/>
  <c r="D10" i="7"/>
  <c r="D2" i="7"/>
  <c r="D30" i="7"/>
  <c r="D40" i="7"/>
  <c r="D19" i="7"/>
  <c r="D37" i="7"/>
  <c r="D16" i="7"/>
  <c r="D33" i="7"/>
  <c r="D36" i="7"/>
  <c r="D39" i="7"/>
  <c r="D31" i="9" s="1"/>
  <c r="D21" i="7"/>
  <c r="D29" i="7"/>
  <c r="D4" i="7"/>
  <c r="D54" i="7"/>
  <c r="D31" i="7"/>
  <c r="D47" i="7"/>
  <c r="D61" i="7"/>
  <c r="D22" i="7"/>
  <c r="D3" i="7"/>
  <c r="D26" i="7"/>
  <c r="K8" i="9"/>
  <c r="D52" i="7"/>
  <c r="D8" i="7"/>
  <c r="D24" i="7"/>
  <c r="D60" i="7"/>
  <c r="D18" i="7"/>
  <c r="D20" i="7"/>
  <c r="D12" i="7"/>
  <c r="D17" i="7"/>
  <c r="K9" i="9"/>
  <c r="C65" i="9"/>
  <c r="D62" i="9" s="1"/>
  <c r="D36" i="9"/>
  <c r="D57" i="9" l="1"/>
  <c r="D48" i="9"/>
  <c r="D61" i="9"/>
  <c r="D19" i="9"/>
  <c r="D20" i="9"/>
  <c r="D8" i="9"/>
  <c r="D59" i="9"/>
  <c r="D64" i="7"/>
  <c r="D58" i="9"/>
  <c r="D7" i="9"/>
  <c r="D56" i="9"/>
  <c r="D54" i="9"/>
  <c r="D60" i="9"/>
  <c r="J232" i="3"/>
  <c r="K234" i="3"/>
  <c r="K17" i="3"/>
  <c r="K232" i="3" s="1"/>
  <c r="B4" i="9"/>
  <c r="I107" i="4"/>
  <c r="H76" i="4"/>
  <c r="G76" i="4"/>
  <c r="E256" i="2"/>
  <c r="G101" i="4"/>
  <c r="G97" i="4"/>
  <c r="F107" i="4"/>
  <c r="L107" i="4" s="1"/>
  <c r="H93" i="4"/>
  <c r="G93" i="4"/>
  <c r="G277" i="2"/>
  <c r="H277" i="2" s="1"/>
  <c r="C277" i="2"/>
  <c r="G271" i="2"/>
  <c r="C271" i="2"/>
  <c r="G264" i="2"/>
  <c r="H264" i="2" s="1"/>
  <c r="C264" i="2"/>
  <c r="C256" i="2"/>
  <c r="G256" i="2"/>
  <c r="H256" i="2" s="1"/>
  <c r="H271" i="2" l="1"/>
  <c r="I271" i="2" s="1"/>
  <c r="I264" i="2"/>
  <c r="M93" i="4"/>
  <c r="M101" i="4"/>
  <c r="I277" i="2"/>
  <c r="M97" i="4"/>
  <c r="G266" i="4" l="1"/>
  <c r="H266" i="4"/>
  <c r="J18" i="3" l="1"/>
  <c r="J233" i="3" s="1"/>
  <c r="J234" i="3"/>
  <c r="K18" i="3"/>
  <c r="M19" i="3"/>
  <c r="M234" i="3" s="1"/>
  <c r="L19" i="3"/>
  <c r="L234" i="3" s="1"/>
  <c r="L18" i="3" l="1"/>
  <c r="L233" i="3" s="1"/>
  <c r="M18" i="3"/>
  <c r="M233" i="3" s="1"/>
  <c r="K233" i="3"/>
  <c r="K12" i="3"/>
  <c r="L20" i="3" l="1"/>
  <c r="L235" i="3" s="1"/>
  <c r="M20" i="3"/>
  <c r="M235" i="3" s="1"/>
  <c r="E186" i="5" l="1"/>
  <c r="G186" i="5"/>
  <c r="H186" i="5" s="1"/>
  <c r="G33" i="5"/>
  <c r="H33" i="5" s="1"/>
  <c r="E33" i="5"/>
  <c r="G6" i="5"/>
  <c r="H6" i="5" s="1"/>
  <c r="E6" i="5"/>
  <c r="G199" i="5"/>
  <c r="H199" i="5" s="1"/>
  <c r="E199" i="5"/>
  <c r="G279" i="5"/>
  <c r="H279" i="5" s="1"/>
  <c r="E279" i="5"/>
  <c r="G255" i="5"/>
  <c r="H255" i="5" s="1"/>
  <c r="E255" i="5"/>
  <c r="G253" i="5"/>
  <c r="H253" i="5" s="1"/>
  <c r="E253" i="5"/>
  <c r="G274" i="5"/>
  <c r="H274" i="5" s="1"/>
  <c r="E274" i="5"/>
  <c r="H288" i="5"/>
  <c r="G266" i="5"/>
  <c r="H266" i="5" s="1"/>
  <c r="E266" i="5"/>
  <c r="E193" i="2"/>
  <c r="C193" i="2"/>
  <c r="G21" i="2"/>
  <c r="G193" i="2"/>
  <c r="H193" i="2" s="1"/>
  <c r="G209" i="2"/>
  <c r="E209" i="2"/>
  <c r="C209" i="2"/>
  <c r="H298" i="5" l="1"/>
  <c r="H209" i="2"/>
  <c r="I12" i="9"/>
  <c r="I3" i="9"/>
  <c r="I4" i="9"/>
  <c r="I5" i="9"/>
  <c r="I6" i="9"/>
  <c r="I11" i="9"/>
  <c r="K182" i="3" l="1"/>
  <c r="L182" i="3"/>
  <c r="M182" i="3"/>
  <c r="I183" i="3"/>
  <c r="I184" i="3"/>
  <c r="I185" i="3"/>
  <c r="K185" i="3"/>
  <c r="K186" i="3"/>
  <c r="B24" i="9"/>
  <c r="B12" i="9"/>
  <c r="G285" i="5"/>
  <c r="H285" i="5" s="1"/>
  <c r="G281" i="5"/>
  <c r="H281" i="5" s="1"/>
  <c r="G277" i="5"/>
  <c r="H277" i="5" s="1"/>
  <c r="G272" i="5"/>
  <c r="G268" i="5"/>
  <c r="H268" i="5" s="1"/>
  <c r="E285" i="5"/>
  <c r="E281" i="5"/>
  <c r="E277" i="5"/>
  <c r="E272" i="5"/>
  <c r="E268" i="5"/>
  <c r="G262" i="5"/>
  <c r="H262" i="5" s="1"/>
  <c r="G259" i="5"/>
  <c r="H259" i="5" s="1"/>
  <c r="G257" i="5"/>
  <c r="H257" i="5" s="1"/>
  <c r="E262" i="5"/>
  <c r="E259" i="5"/>
  <c r="E257" i="5"/>
  <c r="G251" i="5"/>
  <c r="G248" i="5"/>
  <c r="H248" i="5" s="1"/>
  <c r="G246" i="5"/>
  <c r="H246" i="5" s="1"/>
  <c r="G242" i="5"/>
  <c r="H242" i="5" s="1"/>
  <c r="G236" i="5"/>
  <c r="H236" i="5" s="1"/>
  <c r="G233" i="5"/>
  <c r="H233" i="5" s="1"/>
  <c r="G227" i="5"/>
  <c r="H227" i="5" s="1"/>
  <c r="G225" i="5"/>
  <c r="H225" i="5" s="1"/>
  <c r="G221" i="5"/>
  <c r="H221" i="5" s="1"/>
  <c r="G218" i="5"/>
  <c r="H218" i="5" s="1"/>
  <c r="G215" i="5"/>
  <c r="H215" i="5" s="1"/>
  <c r="G212" i="5"/>
  <c r="H212" i="5" s="1"/>
  <c r="E251" i="5"/>
  <c r="E248" i="5"/>
  <c r="E246" i="5"/>
  <c r="E242" i="5"/>
  <c r="E236" i="5"/>
  <c r="E233" i="5"/>
  <c r="E227" i="5"/>
  <c r="E225" i="5"/>
  <c r="E221" i="5"/>
  <c r="E218" i="5"/>
  <c r="E215" i="5"/>
  <c r="E212" i="5"/>
  <c r="G210" i="5"/>
  <c r="H210" i="5" s="1"/>
  <c r="G208" i="5"/>
  <c r="H208" i="5" s="1"/>
  <c r="G203" i="5"/>
  <c r="H203" i="5" s="1"/>
  <c r="G201" i="5"/>
  <c r="H201" i="5" s="1"/>
  <c r="G197" i="5"/>
  <c r="H197" i="5" s="1"/>
  <c r="G194" i="5"/>
  <c r="H194" i="5" s="1"/>
  <c r="G192" i="5"/>
  <c r="H192" i="5" s="1"/>
  <c r="G190" i="5"/>
  <c r="H190" i="5" s="1"/>
  <c r="G188" i="5"/>
  <c r="H188" i="5" s="1"/>
  <c r="G181" i="5"/>
  <c r="H181" i="5" s="1"/>
  <c r="G179" i="5"/>
  <c r="H179" i="5" s="1"/>
  <c r="E210" i="5"/>
  <c r="E208" i="5"/>
  <c r="E203" i="5"/>
  <c r="E201" i="5"/>
  <c r="E197" i="5"/>
  <c r="E194" i="5"/>
  <c r="E192" i="5"/>
  <c r="E190" i="5"/>
  <c r="E188" i="5"/>
  <c r="E181" i="5"/>
  <c r="E179" i="5"/>
  <c r="H251" i="5" l="1"/>
  <c r="B30" i="9"/>
  <c r="B49" i="9"/>
  <c r="B50" i="9"/>
  <c r="B33" i="9"/>
  <c r="B39" i="9"/>
  <c r="B28" i="9"/>
  <c r="B40" i="9"/>
  <c r="B8" i="9"/>
  <c r="B41" i="9"/>
  <c r="B29" i="9"/>
  <c r="B42" i="9"/>
  <c r="B9" i="9"/>
  <c r="J10" i="9" s="1"/>
  <c r="B27" i="9"/>
  <c r="B53" i="9"/>
  <c r="B43" i="9"/>
  <c r="B20" i="9"/>
  <c r="B25" i="9"/>
  <c r="B58" i="9"/>
  <c r="B45" i="9"/>
  <c r="B15" i="9"/>
  <c r="B17" i="9"/>
  <c r="B37" i="9"/>
  <c r="B51" i="9"/>
  <c r="B52" i="9"/>
  <c r="B62" i="9"/>
  <c r="B46" i="9"/>
  <c r="B55" i="9"/>
  <c r="B47" i="9"/>
  <c r="B34" i="9"/>
  <c r="B22" i="9"/>
  <c r="B59" i="9"/>
  <c r="B21" i="9"/>
  <c r="B18" i="9"/>
  <c r="B35" i="9"/>
  <c r="B32" i="9"/>
  <c r="B44" i="9"/>
  <c r="B26" i="9"/>
  <c r="B57" i="9"/>
  <c r="J11" i="9"/>
  <c r="J12" i="9"/>
  <c r="H272" i="5"/>
  <c r="I295" i="4"/>
  <c r="B64" i="7"/>
  <c r="F2" i="7"/>
  <c r="G176" i="5"/>
  <c r="H176" i="5" s="1"/>
  <c r="G171" i="5"/>
  <c r="H171" i="5" s="1"/>
  <c r="G169" i="5"/>
  <c r="H169" i="5" s="1"/>
  <c r="G167" i="5"/>
  <c r="H167" i="5" s="1"/>
  <c r="G163" i="5"/>
  <c r="H163" i="5" s="1"/>
  <c r="G157" i="5"/>
  <c r="H157" i="5" s="1"/>
  <c r="G155" i="5"/>
  <c r="H155" i="5" s="1"/>
  <c r="G152" i="5"/>
  <c r="H152" i="5" s="1"/>
  <c r="G149" i="5"/>
  <c r="H149" i="5" s="1"/>
  <c r="G145" i="5"/>
  <c r="H145" i="5" s="1"/>
  <c r="G141" i="5"/>
  <c r="H141" i="5" s="1"/>
  <c r="E176" i="5"/>
  <c r="E171" i="5"/>
  <c r="E169" i="5"/>
  <c r="E167" i="5"/>
  <c r="E163" i="5"/>
  <c r="E157" i="5"/>
  <c r="E155" i="5"/>
  <c r="E152" i="5"/>
  <c r="E149" i="5"/>
  <c r="E145" i="5"/>
  <c r="E141" i="5"/>
  <c r="G138" i="5"/>
  <c r="H138" i="5" s="1"/>
  <c r="G134" i="5"/>
  <c r="H134" i="5" s="1"/>
  <c r="G131" i="5"/>
  <c r="H131" i="5" s="1"/>
  <c r="G127" i="5"/>
  <c r="H127" i="5" s="1"/>
  <c r="G118" i="5"/>
  <c r="H118" i="5" s="1"/>
  <c r="G113" i="5"/>
  <c r="H113" i="5" s="1"/>
  <c r="G111" i="5"/>
  <c r="H111" i="5" s="1"/>
  <c r="G109" i="5"/>
  <c r="H109" i="5" s="1"/>
  <c r="G107" i="5"/>
  <c r="H107" i="5" s="1"/>
  <c r="G104" i="5"/>
  <c r="H104" i="5" s="1"/>
  <c r="E138" i="5"/>
  <c r="E134" i="5"/>
  <c r="E131" i="5"/>
  <c r="E127" i="5"/>
  <c r="E118" i="5"/>
  <c r="E113" i="5"/>
  <c r="E111" i="5"/>
  <c r="E109" i="5"/>
  <c r="E107" i="5"/>
  <c r="E104" i="5"/>
  <c r="G101" i="5"/>
  <c r="H101" i="5" s="1"/>
  <c r="G99" i="5"/>
  <c r="H99" i="5" s="1"/>
  <c r="G94" i="5"/>
  <c r="H94" i="5" s="1"/>
  <c r="G91" i="5"/>
  <c r="H91" i="5" s="1"/>
  <c r="G83" i="5"/>
  <c r="H83" i="5" s="1"/>
  <c r="G81" i="5"/>
  <c r="H81" i="5" s="1"/>
  <c r="G78" i="5"/>
  <c r="H78" i="5" s="1"/>
  <c r="G75" i="5"/>
  <c r="H75" i="5" s="1"/>
  <c r="G70" i="5"/>
  <c r="H70" i="5" s="1"/>
  <c r="G67" i="5"/>
  <c r="H67" i="5" s="1"/>
  <c r="E101" i="5"/>
  <c r="E99" i="5"/>
  <c r="E94" i="5"/>
  <c r="E91" i="5"/>
  <c r="E83" i="5"/>
  <c r="E81" i="5"/>
  <c r="E78" i="5"/>
  <c r="E75" i="5"/>
  <c r="E70" i="5"/>
  <c r="E67" i="5"/>
  <c r="E64" i="5"/>
  <c r="E62" i="5"/>
  <c r="E59" i="5"/>
  <c r="E54" i="5"/>
  <c r="E50" i="5"/>
  <c r="E44" i="5"/>
  <c r="E35" i="5"/>
  <c r="E31" i="5"/>
  <c r="G64" i="5"/>
  <c r="H64" i="5" s="1"/>
  <c r="G62" i="5"/>
  <c r="H62" i="5" s="1"/>
  <c r="G59" i="5"/>
  <c r="H59" i="5" s="1"/>
  <c r="G54" i="5"/>
  <c r="H54" i="5" s="1"/>
  <c r="G50" i="5"/>
  <c r="H50" i="5" s="1"/>
  <c r="G44" i="5"/>
  <c r="H44" i="5" s="1"/>
  <c r="G35" i="5"/>
  <c r="H35" i="5" s="1"/>
  <c r="G31" i="5"/>
  <c r="H31" i="5" s="1"/>
  <c r="G29" i="5"/>
  <c r="H29" i="5" s="1"/>
  <c r="E29" i="5"/>
  <c r="E26" i="5"/>
  <c r="E20" i="5"/>
  <c r="E8" i="5"/>
  <c r="E4" i="5"/>
  <c r="E24" i="5"/>
  <c r="G26" i="5"/>
  <c r="H26" i="5" s="1"/>
  <c r="G24" i="5"/>
  <c r="H24" i="5" s="1"/>
  <c r="G20" i="5"/>
  <c r="H20" i="5" s="1"/>
  <c r="G8" i="5"/>
  <c r="H8" i="5" s="1"/>
  <c r="G4" i="5"/>
  <c r="G286" i="4"/>
  <c r="G281" i="4"/>
  <c r="G280" i="4"/>
  <c r="G271" i="4"/>
  <c r="G270" i="4"/>
  <c r="G269" i="4"/>
  <c r="H263" i="4"/>
  <c r="H262" i="4"/>
  <c r="G263" i="4"/>
  <c r="G262" i="4"/>
  <c r="G256" i="4"/>
  <c r="G254" i="4"/>
  <c r="G249" i="4"/>
  <c r="G247" i="4"/>
  <c r="G239" i="4"/>
  <c r="G237" i="4"/>
  <c r="G236" i="4"/>
  <c r="G235" i="4"/>
  <c r="H232" i="4"/>
  <c r="H229" i="4"/>
  <c r="H228" i="4"/>
  <c r="H227" i="4"/>
  <c r="H219" i="4"/>
  <c r="H217" i="4"/>
  <c r="H216" i="4"/>
  <c r="H214" i="4"/>
  <c r="H211" i="4"/>
  <c r="H209" i="4"/>
  <c r="G232" i="4"/>
  <c r="M232" i="4" s="1"/>
  <c r="G229" i="4"/>
  <c r="G228" i="4"/>
  <c r="G227" i="4"/>
  <c r="G219" i="4"/>
  <c r="G217" i="4"/>
  <c r="M217" i="4" s="1"/>
  <c r="M216" i="4"/>
  <c r="G214" i="4"/>
  <c r="G209" i="4"/>
  <c r="H206" i="4"/>
  <c r="H202" i="4"/>
  <c r="H198" i="4"/>
  <c r="H197" i="4"/>
  <c r="H194" i="4"/>
  <c r="H192" i="4"/>
  <c r="H191" i="4"/>
  <c r="H190" i="4"/>
  <c r="H189" i="4"/>
  <c r="H188" i="4"/>
  <c r="H187" i="4"/>
  <c r="H183" i="4"/>
  <c r="H182" i="4"/>
  <c r="H178" i="4"/>
  <c r="G206" i="4"/>
  <c r="G202" i="4"/>
  <c r="G198" i="4"/>
  <c r="G197" i="4"/>
  <c r="G194" i="4"/>
  <c r="G192" i="4"/>
  <c r="G191" i="4"/>
  <c r="G190" i="4"/>
  <c r="G189" i="4"/>
  <c r="G188" i="4"/>
  <c r="G187" i="4"/>
  <c r="G183" i="4"/>
  <c r="G182" i="4"/>
  <c r="G178" i="4"/>
  <c r="J177" i="4"/>
  <c r="K177" i="4" s="1"/>
  <c r="G174" i="4"/>
  <c r="G177" i="4" s="1"/>
  <c r="L177" i="4"/>
  <c r="G125" i="4"/>
  <c r="M125" i="4" s="1"/>
  <c r="H116" i="4"/>
  <c r="H114" i="4"/>
  <c r="H113" i="4"/>
  <c r="H110" i="4"/>
  <c r="H108" i="4"/>
  <c r="G116" i="4"/>
  <c r="G114" i="4"/>
  <c r="G108" i="4"/>
  <c r="L119" i="4"/>
  <c r="H12" i="4"/>
  <c r="H6" i="4"/>
  <c r="H2" i="4"/>
  <c r="H31" i="4"/>
  <c r="H26" i="4"/>
  <c r="H25" i="4"/>
  <c r="H24" i="4"/>
  <c r="H23" i="4"/>
  <c r="H21" i="4"/>
  <c r="H20" i="4"/>
  <c r="H19" i="4"/>
  <c r="H18" i="4"/>
  <c r="H17" i="4"/>
  <c r="H42" i="4"/>
  <c r="H41" i="4"/>
  <c r="H39" i="4"/>
  <c r="H77" i="4"/>
  <c r="H79" i="4" s="1"/>
  <c r="J79" i="4" s="1"/>
  <c r="K79" i="4" s="1"/>
  <c r="H105" i="4"/>
  <c r="H104" i="4"/>
  <c r="H103" i="4"/>
  <c r="H101" i="4"/>
  <c r="H99" i="4"/>
  <c r="H98" i="4"/>
  <c r="H97" i="4"/>
  <c r="G105" i="4"/>
  <c r="M105" i="4" s="1"/>
  <c r="G104" i="4"/>
  <c r="M104" i="4" s="1"/>
  <c r="G103" i="4"/>
  <c r="M103" i="4" s="1"/>
  <c r="G99" i="4"/>
  <c r="M99" i="4" s="1"/>
  <c r="G98" i="4"/>
  <c r="G86" i="4"/>
  <c r="G80" i="4"/>
  <c r="L92" i="4"/>
  <c r="G77" i="4"/>
  <c r="G79" i="4" s="1"/>
  <c r="G67" i="4"/>
  <c r="G66" i="4"/>
  <c r="G65" i="4"/>
  <c r="G64" i="4"/>
  <c r="G63" i="4"/>
  <c r="G62" i="4"/>
  <c r="G61" i="4"/>
  <c r="G60" i="4"/>
  <c r="G52" i="4"/>
  <c r="G42" i="4"/>
  <c r="G41" i="4"/>
  <c r="G39" i="4"/>
  <c r="G38" i="4"/>
  <c r="G31" i="4"/>
  <c r="G26" i="4"/>
  <c r="G25" i="4"/>
  <c r="G24" i="4"/>
  <c r="G23" i="4"/>
  <c r="G21" i="4"/>
  <c r="M21" i="4" s="1"/>
  <c r="G20" i="4"/>
  <c r="G19" i="4"/>
  <c r="G18" i="4"/>
  <c r="G17" i="4"/>
  <c r="L33" i="4"/>
  <c r="L14" i="4"/>
  <c r="G12" i="4"/>
  <c r="G6" i="4"/>
  <c r="G2" i="4"/>
  <c r="E8" i="9" l="1"/>
  <c r="G268" i="4"/>
  <c r="H14" i="4"/>
  <c r="J14" i="4" s="1"/>
  <c r="J8" i="9"/>
  <c r="J9" i="9"/>
  <c r="E22" i="7"/>
  <c r="E54" i="7"/>
  <c r="G14" i="4"/>
  <c r="G293" i="4"/>
  <c r="H208" i="4"/>
  <c r="J208" i="4" s="1"/>
  <c r="K208" i="4" s="1"/>
  <c r="H268" i="4"/>
  <c r="J268" i="4" s="1"/>
  <c r="K268" i="4" s="1"/>
  <c r="H234" i="4"/>
  <c r="J234" i="4" s="1"/>
  <c r="K234" i="4" s="1"/>
  <c r="G258" i="4"/>
  <c r="G234" i="4"/>
  <c r="G208" i="4"/>
  <c r="G417" i="5"/>
  <c r="G72" i="4"/>
  <c r="E3" i="7"/>
  <c r="E47" i="7"/>
  <c r="G173" i="4"/>
  <c r="E31" i="7"/>
  <c r="B65" i="9"/>
  <c r="E62" i="9" s="1"/>
  <c r="G92" i="4"/>
  <c r="E61" i="7"/>
  <c r="H92" i="4"/>
  <c r="J92" i="4" s="1"/>
  <c r="K92" i="4" s="1"/>
  <c r="G119" i="4"/>
  <c r="H119" i="4"/>
  <c r="J119" i="4" s="1"/>
  <c r="K119" i="4" s="1"/>
  <c r="E34" i="7"/>
  <c r="E39" i="7"/>
  <c r="H59" i="4"/>
  <c r="J59" i="4" s="1"/>
  <c r="K59" i="4" s="1"/>
  <c r="M183" i="4"/>
  <c r="G59" i="4"/>
  <c r="M219" i="4"/>
  <c r="M209" i="4"/>
  <c r="M214" i="4"/>
  <c r="M229" i="4"/>
  <c r="M222" i="4"/>
  <c r="M212" i="4"/>
  <c r="M227" i="4"/>
  <c r="M211" i="4"/>
  <c r="M228" i="4"/>
  <c r="E51" i="7"/>
  <c r="E32" i="7"/>
  <c r="M174" i="4"/>
  <c r="M177" i="4" s="1"/>
  <c r="M77" i="4"/>
  <c r="M190" i="4"/>
  <c r="G33" i="4"/>
  <c r="H33" i="4"/>
  <c r="J33" i="4" s="1"/>
  <c r="K33" i="4" s="1"/>
  <c r="M98" i="4"/>
  <c r="G107" i="4"/>
  <c r="H107" i="4"/>
  <c r="J107" i="4" s="1"/>
  <c r="K107" i="4" s="1"/>
  <c r="M239" i="4"/>
  <c r="M197" i="4"/>
  <c r="M66" i="4"/>
  <c r="M249" i="4"/>
  <c r="E28" i="7"/>
  <c r="E18" i="7"/>
  <c r="E57" i="7"/>
  <c r="E25" i="7"/>
  <c r="E45" i="7"/>
  <c r="E8" i="7"/>
  <c r="E38" i="7"/>
  <c r="E11" i="7"/>
  <c r="E49" i="7"/>
  <c r="E30" i="7"/>
  <c r="E29" i="7"/>
  <c r="E6" i="7"/>
  <c r="E43" i="7"/>
  <c r="E15" i="7"/>
  <c r="E53" i="7"/>
  <c r="E13" i="7"/>
  <c r="E50" i="7"/>
  <c r="E12" i="7"/>
  <c r="E23" i="7"/>
  <c r="E62" i="7"/>
  <c r="E35" i="7"/>
  <c r="E17" i="7"/>
  <c r="H4" i="5"/>
  <c r="M237" i="4"/>
  <c r="E46" i="7"/>
  <c r="E26" i="7"/>
  <c r="E9" i="7"/>
  <c r="E59" i="7"/>
  <c r="E41" i="7"/>
  <c r="E20" i="7"/>
  <c r="E4" i="7"/>
  <c r="E10" i="7"/>
  <c r="E27" i="7"/>
  <c r="E48" i="7"/>
  <c r="E2" i="7"/>
  <c r="E19" i="7"/>
  <c r="E40" i="7"/>
  <c r="E58" i="7"/>
  <c r="E60" i="7"/>
  <c r="E42" i="7"/>
  <c r="E21" i="7"/>
  <c r="E5" i="7"/>
  <c r="E55" i="7"/>
  <c r="E36" i="7"/>
  <c r="E16" i="7"/>
  <c r="E14" i="7"/>
  <c r="E33" i="7"/>
  <c r="E52" i="7"/>
  <c r="E7" i="7"/>
  <c r="E24" i="7"/>
  <c r="E44" i="7"/>
  <c r="E56" i="7"/>
  <c r="E37" i="7"/>
  <c r="M242" i="4"/>
  <c r="M251" i="4"/>
  <c r="M247" i="4"/>
  <c r="M256" i="4"/>
  <c r="M236" i="4"/>
  <c r="M246" i="4"/>
  <c r="M254" i="4"/>
  <c r="M263" i="4"/>
  <c r="M271" i="4"/>
  <c r="M281" i="4"/>
  <c r="M266" i="4"/>
  <c r="M272" i="4"/>
  <c r="M286" i="4"/>
  <c r="M269" i="4"/>
  <c r="M275" i="4"/>
  <c r="M290" i="4"/>
  <c r="M270" i="4"/>
  <c r="M280" i="4"/>
  <c r="F295" i="4"/>
  <c r="M262" i="4"/>
  <c r="M235" i="4"/>
  <c r="M178" i="4"/>
  <c r="M188" i="4"/>
  <c r="M192" i="4"/>
  <c r="M202" i="4"/>
  <c r="M187" i="4"/>
  <c r="M191" i="4"/>
  <c r="M198" i="4"/>
  <c r="M182" i="4"/>
  <c r="M189" i="4"/>
  <c r="M194" i="4"/>
  <c r="M206" i="4"/>
  <c r="M12" i="4"/>
  <c r="M45" i="4"/>
  <c r="M38" i="4"/>
  <c r="M31" i="4"/>
  <c r="M109" i="4"/>
  <c r="M111" i="4"/>
  <c r="M114" i="4"/>
  <c r="M108" i="4"/>
  <c r="M116" i="4"/>
  <c r="M83" i="4"/>
  <c r="M86" i="4"/>
  <c r="M88" i="4"/>
  <c r="M80" i="4"/>
  <c r="M41" i="4"/>
  <c r="M42" i="4"/>
  <c r="M57" i="4"/>
  <c r="M155" i="4"/>
  <c r="M167" i="4"/>
  <c r="M171" i="4"/>
  <c r="M26" i="4"/>
  <c r="M76" i="4"/>
  <c r="M62" i="4"/>
  <c r="M63" i="4"/>
  <c r="M67" i="4"/>
  <c r="M52" i="4"/>
  <c r="M17" i="4"/>
  <c r="M19" i="4"/>
  <c r="M24" i="4"/>
  <c r="J72" i="4"/>
  <c r="K72" i="4" s="1"/>
  <c r="M61" i="4"/>
  <c r="M65" i="4"/>
  <c r="M64" i="4"/>
  <c r="M39" i="4"/>
  <c r="M47" i="4"/>
  <c r="M20" i="4"/>
  <c r="M25" i="4"/>
  <c r="M18" i="4"/>
  <c r="M23" i="4"/>
  <c r="M60" i="4"/>
  <c r="M6" i="4"/>
  <c r="M2" i="4"/>
  <c r="J12" i="3"/>
  <c r="J185" i="3" s="1"/>
  <c r="J10" i="3"/>
  <c r="F226" i="3"/>
  <c r="K10" i="3" s="1"/>
  <c r="K5" i="3"/>
  <c r="K26" i="3" s="1"/>
  <c r="J5" i="3"/>
  <c r="J3" i="3"/>
  <c r="F179" i="3"/>
  <c r="I240" i="2"/>
  <c r="I209" i="2"/>
  <c r="G186" i="2"/>
  <c r="E186" i="2"/>
  <c r="C186" i="2"/>
  <c r="G156" i="2"/>
  <c r="H156" i="2" s="1"/>
  <c r="E156" i="2"/>
  <c r="C156" i="2"/>
  <c r="G134" i="2"/>
  <c r="H134" i="2" s="1"/>
  <c r="I134" i="2" s="1"/>
  <c r="E134" i="2"/>
  <c r="C134" i="2"/>
  <c r="G106" i="2"/>
  <c r="H106" i="2" s="1"/>
  <c r="I106" i="2" s="1"/>
  <c r="E106" i="2"/>
  <c r="C106" i="2"/>
  <c r="G78" i="2"/>
  <c r="H78" i="2" s="1"/>
  <c r="I78" i="2" s="1"/>
  <c r="C78" i="2"/>
  <c r="E78" i="2"/>
  <c r="G50" i="2"/>
  <c r="E50" i="2"/>
  <c r="E21" i="2"/>
  <c r="C50" i="2"/>
  <c r="C21" i="2"/>
  <c r="E20" i="9" l="1"/>
  <c r="E48" i="9"/>
  <c r="E61" i="9"/>
  <c r="E19" i="9"/>
  <c r="E2" i="9"/>
  <c r="E7" i="9"/>
  <c r="E31" i="9"/>
  <c r="E36" i="9"/>
  <c r="E58" i="9"/>
  <c r="E57" i="9"/>
  <c r="E59" i="9"/>
  <c r="M79" i="4"/>
  <c r="M293" i="4"/>
  <c r="M268" i="4"/>
  <c r="M258" i="4"/>
  <c r="M234" i="4"/>
  <c r="M208" i="4"/>
  <c r="M173" i="4"/>
  <c r="M14" i="4"/>
  <c r="J4" i="3"/>
  <c r="L4" i="3" s="1"/>
  <c r="J26" i="3"/>
  <c r="E56" i="9"/>
  <c r="E54" i="9"/>
  <c r="E60" i="9"/>
  <c r="M72" i="4"/>
  <c r="M92" i="4"/>
  <c r="M119" i="4"/>
  <c r="M59" i="4"/>
  <c r="J183" i="3"/>
  <c r="J24" i="3"/>
  <c r="M33" i="4"/>
  <c r="G286" i="1"/>
  <c r="G280" i="2"/>
  <c r="C280" i="2"/>
  <c r="M107" i="4"/>
  <c r="H186" i="2"/>
  <c r="K183" i="3"/>
  <c r="M12" i="3"/>
  <c r="M185" i="3" s="1"/>
  <c r="F227" i="3"/>
  <c r="F278" i="3" s="1"/>
  <c r="K3" i="3"/>
  <c r="M5" i="3" s="1"/>
  <c r="J11" i="3"/>
  <c r="K11" i="3"/>
  <c r="L5" i="3"/>
  <c r="L12" i="3"/>
  <c r="L185" i="3" s="1"/>
  <c r="D21" i="2"/>
  <c r="H21" i="2"/>
  <c r="D78" i="2"/>
  <c r="I156" i="2"/>
  <c r="H50" i="2"/>
  <c r="I50" i="2" s="1"/>
  <c r="D186" i="2"/>
  <c r="E64" i="7"/>
  <c r="J295" i="4"/>
  <c r="K14" i="4"/>
  <c r="G295" i="4"/>
  <c r="H295" i="4"/>
  <c r="D134" i="2"/>
  <c r="D209" i="2"/>
  <c r="D240" i="2"/>
  <c r="D106" i="2"/>
  <c r="D193" i="2"/>
  <c r="I193" i="2"/>
  <c r="D50" i="2"/>
  <c r="D156" i="2"/>
  <c r="H280" i="2" l="1"/>
  <c r="L26" i="3"/>
  <c r="K24" i="3"/>
  <c r="M26" i="3" s="1"/>
  <c r="L11" i="3"/>
  <c r="J25" i="3"/>
  <c r="L25" i="3" s="1"/>
  <c r="I186" i="2"/>
  <c r="K4" i="3"/>
  <c r="J184" i="3"/>
  <c r="L6" i="3"/>
  <c r="K184" i="3"/>
  <c r="M11" i="3"/>
  <c r="I21" i="2"/>
  <c r="M4" i="3" l="1"/>
  <c r="M6" i="3" s="1"/>
  <c r="K25" i="3"/>
  <c r="M25" i="3" s="1"/>
  <c r="M27" i="3" s="1"/>
  <c r="L27" i="3"/>
  <c r="L184" i="3"/>
  <c r="L13" i="3"/>
  <c r="L186" i="3" s="1"/>
  <c r="M184" i="3"/>
  <c r="M13" i="3"/>
  <c r="M186" i="3" s="1"/>
  <c r="I256" i="2" l="1"/>
  <c r="I280" i="2"/>
  <c r="D256" i="2"/>
  <c r="E264" i="2" s="1"/>
  <c r="D264" i="2" l="1"/>
  <c r="D271" i="2" s="1"/>
  <c r="D277" i="2" s="1"/>
  <c r="E280" i="2" l="1"/>
  <c r="D280" i="2" s="1"/>
  <c r="K4" i="9"/>
  <c r="J5" i="9"/>
  <c r="K12" i="9"/>
  <c r="J6" i="9"/>
  <c r="K11" i="9"/>
  <c r="K6" i="9"/>
  <c r="K5" i="9"/>
  <c r="J4" i="9"/>
  <c r="K3" i="9"/>
  <c r="K22" i="9" l="1"/>
  <c r="L22" i="9" s="1"/>
  <c r="K24" i="9"/>
  <c r="L24" i="9" s="1"/>
  <c r="K25" i="9"/>
  <c r="L25" i="9" s="1"/>
  <c r="J13" i="9"/>
  <c r="J18" i="9" s="1"/>
  <c r="K13" i="9"/>
  <c r="D29" i="9"/>
  <c r="D35" i="9"/>
  <c r="D13" i="9"/>
  <c r="D22" i="9"/>
  <c r="D43" i="9"/>
  <c r="D25" i="9"/>
  <c r="D45" i="9"/>
  <c r="D6" i="9"/>
  <c r="L7" i="9" s="1"/>
  <c r="D52" i="9"/>
  <c r="D17" i="9"/>
  <c r="D40" i="9"/>
  <c r="D3" i="9"/>
  <c r="L4" i="9" s="1"/>
  <c r="D55" i="9"/>
  <c r="D41" i="9"/>
  <c r="D5" i="9"/>
  <c r="L6" i="9" s="1"/>
  <c r="D49" i="9"/>
  <c r="D15" i="9"/>
  <c r="D34" i="9"/>
  <c r="D50" i="9"/>
  <c r="D10" i="9"/>
  <c r="L11" i="9" s="1"/>
  <c r="D38" i="9"/>
  <c r="D44" i="9"/>
  <c r="D9" i="9"/>
  <c r="L10" i="9" s="1"/>
  <c r="D30" i="9"/>
  <c r="D46" i="9"/>
  <c r="L8" i="9"/>
  <c r="D33" i="9"/>
  <c r="D23" i="9"/>
  <c r="D4" i="9"/>
  <c r="L5" i="9" s="1"/>
  <c r="D26" i="9"/>
  <c r="D42" i="9"/>
  <c r="D37" i="9"/>
  <c r="D21" i="9"/>
  <c r="D39" i="9"/>
  <c r="D51" i="9"/>
  <c r="D14" i="9"/>
  <c r="D24" i="9"/>
  <c r="D27" i="9"/>
  <c r="D47" i="9"/>
  <c r="D28" i="9"/>
  <c r="D12" i="9"/>
  <c r="D2" i="9"/>
  <c r="D16" i="9"/>
  <c r="D32" i="9"/>
  <c r="D53" i="9"/>
  <c r="D11" i="9"/>
  <c r="L12" i="9" s="1"/>
  <c r="D18" i="9"/>
  <c r="J25" i="9"/>
  <c r="J24" i="9"/>
  <c r="E4" i="9"/>
  <c r="M5" i="9" s="1"/>
  <c r="E9" i="9"/>
  <c r="M10" i="9" s="1"/>
  <c r="E10" i="9"/>
  <c r="M11" i="9" s="1"/>
  <c r="E15" i="9"/>
  <c r="E17" i="9"/>
  <c r="E22" i="9"/>
  <c r="E25" i="9"/>
  <c r="E27" i="9"/>
  <c r="E29" i="9"/>
  <c r="E32" i="9"/>
  <c r="E24" i="9"/>
  <c r="E37" i="9"/>
  <c r="E39" i="9"/>
  <c r="E23" i="9"/>
  <c r="E42" i="9"/>
  <c r="E44" i="9"/>
  <c r="E46" i="9"/>
  <c r="E49" i="9"/>
  <c r="E50" i="9"/>
  <c r="E52" i="9"/>
  <c r="E55" i="9"/>
  <c r="E12" i="9"/>
  <c r="E38" i="9"/>
  <c r="E30" i="9"/>
  <c r="E33" i="9"/>
  <c r="E26" i="9"/>
  <c r="E28" i="9"/>
  <c r="E21" i="9"/>
  <c r="E16" i="9"/>
  <c r="E51" i="9"/>
  <c r="E14" i="9"/>
  <c r="E53" i="9"/>
  <c r="E18" i="9"/>
  <c r="E47" i="9"/>
  <c r="E11" i="9"/>
  <c r="M12" i="9" s="1"/>
  <c r="E35" i="9"/>
  <c r="E13" i="9"/>
  <c r="E43" i="9"/>
  <c r="M9" i="9"/>
  <c r="E45" i="9"/>
  <c r="E6" i="9"/>
  <c r="M7" i="9" s="1"/>
  <c r="E3" i="9"/>
  <c r="E41" i="9"/>
  <c r="E40" i="9"/>
  <c r="E5" i="9"/>
  <c r="M6" i="9" s="1"/>
  <c r="E34" i="9"/>
  <c r="J22" i="9"/>
  <c r="J19" i="9"/>
  <c r="M4" i="9" l="1"/>
  <c r="E65" i="9"/>
  <c r="M8" i="9"/>
  <c r="L9" i="9"/>
  <c r="D65" i="9"/>
  <c r="M3" i="9"/>
  <c r="M13" i="9" s="1"/>
  <c r="M22" i="9"/>
  <c r="M25" i="9"/>
  <c r="M24" i="9"/>
  <c r="L3" i="9"/>
  <c r="J20" i="9"/>
</calcChain>
</file>

<file path=xl/sharedStrings.xml><?xml version="1.0" encoding="utf-8"?>
<sst xmlns="http://schemas.openxmlformats.org/spreadsheetml/2006/main" count="6689" uniqueCount="447">
  <si>
    <t>College</t>
  </si>
  <si>
    <t>Year</t>
  </si>
  <si>
    <t>Project</t>
  </si>
  <si>
    <t>Method</t>
  </si>
  <si>
    <t>Successful Bidder/Proposer</t>
  </si>
  <si>
    <t>Amount</t>
  </si>
  <si>
    <t>CNU</t>
  </si>
  <si>
    <t>Freeman Center</t>
  </si>
  <si>
    <t>CMAR</t>
  </si>
  <si>
    <t>W.M. Jordan Company, Inc.</t>
  </si>
  <si>
    <t>Forbes Hall Phase 1</t>
  </si>
  <si>
    <t>Whiting-Turner Contracting Co</t>
  </si>
  <si>
    <t>Forbes Hall Phase II</t>
  </si>
  <si>
    <t>Luter Hall</t>
  </si>
  <si>
    <t>Warwick River Hall</t>
  </si>
  <si>
    <t>Pope Chapel</t>
  </si>
  <si>
    <t>Christopher Newport Hall</t>
  </si>
  <si>
    <t>Library Phase II Construction</t>
  </si>
  <si>
    <t>Alumni House Construction</t>
  </si>
  <si>
    <t>Competitive Bid</t>
  </si>
  <si>
    <t>Regattas Dining Expansion</t>
  </si>
  <si>
    <t>E.T. Gresham Company</t>
  </si>
  <si>
    <t>Fine Arts &amp; Band Rehersal Construction/Renovation</t>
  </si>
  <si>
    <t>GMU</t>
  </si>
  <si>
    <t>Science &amp; Tech II Renovation</t>
  </si>
  <si>
    <t>Fenwick Library Renovation Phase II</t>
  </si>
  <si>
    <t>Thompson Hall Renovation</t>
  </si>
  <si>
    <t>Keller Brothers, Inc.</t>
  </si>
  <si>
    <t>Fine Arts Building Renovation</t>
  </si>
  <si>
    <t>Tuckman-Barbee Construction Co</t>
  </si>
  <si>
    <t>Shenandoah ("Ike's") Dining</t>
  </si>
  <si>
    <t>Balfour Beatty Construction, LLC.</t>
  </si>
  <si>
    <t>Sub I Addition/Renovation</t>
  </si>
  <si>
    <t>Design/Build</t>
  </si>
  <si>
    <t>Hess Construction Company</t>
  </si>
  <si>
    <t>Krasnow Institute Addition Phase II</t>
  </si>
  <si>
    <t>Housing VIIIA</t>
  </si>
  <si>
    <t>Smithsonian-Mason CSP</t>
  </si>
  <si>
    <t>University Commons Renovation</t>
  </si>
  <si>
    <t>Dustin Construction, Inc.</t>
  </si>
  <si>
    <t>Taylor Hall (Housing VIIIB1)</t>
  </si>
  <si>
    <t>Campus Drive (West Campus Connector)</t>
  </si>
  <si>
    <t>Branch Highways</t>
  </si>
  <si>
    <t>Hotel &amp; Conference Center</t>
  </si>
  <si>
    <t>PPEA</t>
  </si>
  <si>
    <t>University Hotel Partners, LLC.</t>
  </si>
  <si>
    <t>Peterson Family Health Sciences Hall</t>
  </si>
  <si>
    <t>JMU</t>
  </si>
  <si>
    <t>CISAT Dining Hall</t>
  </si>
  <si>
    <t>Donley's LLC.</t>
  </si>
  <si>
    <t>Bridgeforth Stadium Renovation</t>
  </si>
  <si>
    <t>Bio Science Building</t>
  </si>
  <si>
    <t>Skanska USA Building</t>
  </si>
  <si>
    <t>Wayland Hall Renovation</t>
  </si>
  <si>
    <t>West Wing RMH Renovation</t>
  </si>
  <si>
    <t>Duke Hall Addition/Renovation</t>
  </si>
  <si>
    <t>Grace Street Student Housing</t>
  </si>
  <si>
    <t>UREC Expansion</t>
  </si>
  <si>
    <t>Kjellstrom &amp; Lee, Inc.</t>
  </si>
  <si>
    <t>East Tower</t>
  </si>
  <si>
    <t>Softball/Baseball Complex</t>
  </si>
  <si>
    <t>Nielsen Builders, Inc.</t>
  </si>
  <si>
    <t>University Park</t>
  </si>
  <si>
    <t>Boiler &amp; Infrastructure Phase I</t>
  </si>
  <si>
    <t>Lantz Construction Company</t>
  </si>
  <si>
    <t>Madison Hall Renovation</t>
  </si>
  <si>
    <t>University Services Annex</t>
  </si>
  <si>
    <t>Harrisonburg Construction, Inc.</t>
  </si>
  <si>
    <t>New Student Health Center/East Wing Construction</t>
  </si>
  <si>
    <t>S.B. Ballard Construction Company</t>
  </si>
  <si>
    <t>Phillips Dining Hall Replacement Construction</t>
  </si>
  <si>
    <t>School of Business</t>
  </si>
  <si>
    <t>Wilson Hall Renovations</t>
  </si>
  <si>
    <t>Longwood</t>
  </si>
  <si>
    <t>Steam Plant Upgrade Phase II</t>
  </si>
  <si>
    <t>Branch &amp; Associates, Inc.</t>
  </si>
  <si>
    <t>Bedford Hall Addition/Renovation</t>
  </si>
  <si>
    <t>Costello Construction, Inc.</t>
  </si>
  <si>
    <t>Stubbs Hall Renovation</t>
  </si>
  <si>
    <t>C.L. Lewis &amp; Co., Inc.</t>
  </si>
  <si>
    <t>French Hall Renovation</t>
  </si>
  <si>
    <t>English Construction Co., Inc.</t>
  </si>
  <si>
    <t>Cox Renovations</t>
  </si>
  <si>
    <t>J.E. Jamerson &amp; Sons</t>
  </si>
  <si>
    <t>Student Success Center Construction</t>
  </si>
  <si>
    <t>Hailey Builders, Inc.</t>
  </si>
  <si>
    <t>University Center Construction</t>
  </si>
  <si>
    <t>Additional Biomass Boiler</t>
  </si>
  <si>
    <t>WACO, Inc.</t>
  </si>
  <si>
    <t>NSU</t>
  </si>
  <si>
    <t>Brown Hall Replacement</t>
  </si>
  <si>
    <t>Brooks Library</t>
  </si>
  <si>
    <t>Godwin Student Center</t>
  </si>
  <si>
    <t>New Nusring &amp; General Classroom Building</t>
  </si>
  <si>
    <t>ODU</t>
  </si>
  <si>
    <t>New Systems Research &amp; Academic Building Construction</t>
  </si>
  <si>
    <t>New Arts Building Construction</t>
  </si>
  <si>
    <t>New Art Studio Building Construction</t>
  </si>
  <si>
    <t>Darden College of Education Building</t>
  </si>
  <si>
    <t>Quad Student Housing Phase II (Buildings D, E, &amp; F)</t>
  </si>
  <si>
    <t>Systems Research and Academic Building</t>
  </si>
  <si>
    <t>Monarch Theater Phase of Diehn Performing and Fine Arts Building Phase II</t>
  </si>
  <si>
    <t>Basketball Practice Facility</t>
  </si>
  <si>
    <t>P. G. Harris Construction Co.</t>
  </si>
  <si>
    <t>Radford</t>
  </si>
  <si>
    <t>College of Business and Economics Construction</t>
  </si>
  <si>
    <t>Computational Sciences Building Construction</t>
  </si>
  <si>
    <t>Student Fitness Center Construction</t>
  </si>
  <si>
    <t>New Academic Building - Humanities Construction</t>
  </si>
  <si>
    <t>Moffet Hall Renovations</t>
  </si>
  <si>
    <t>Thor, Inc.</t>
  </si>
  <si>
    <t>Washington Hall Renovations</t>
  </si>
  <si>
    <t>G&amp;H Contracting</t>
  </si>
  <si>
    <t>Residence Halls Umbrella Project Renovations</t>
  </si>
  <si>
    <t>New Intramural Fields Construction</t>
  </si>
  <si>
    <t>Price Building &amp; MB Contracting</t>
  </si>
  <si>
    <t>Madison &amp; Jefferson Hall Renovations</t>
  </si>
  <si>
    <t>Whitt Hall Renovations</t>
  </si>
  <si>
    <t>Residence Hall Renovations</t>
  </si>
  <si>
    <t>UMW</t>
  </si>
  <si>
    <t>Dahlgren Campus Construction</t>
  </si>
  <si>
    <t>Competitive Negotiation</t>
  </si>
  <si>
    <t>Residence Halls (Mason &amp; Randolph) Renovations</t>
  </si>
  <si>
    <t>Information and Technology Convergence Center</t>
  </si>
  <si>
    <t>Monroe Hall Renovation</t>
  </si>
  <si>
    <t>Sigal Construction Corp.</t>
  </si>
  <si>
    <t>Convocation Center</t>
  </si>
  <si>
    <t>A.D. Whittaker Construction Corp.</t>
  </si>
  <si>
    <t>Campus Center Construction</t>
  </si>
  <si>
    <t>UVA</t>
  </si>
  <si>
    <t>College at Wise: Residence Hall Package 6</t>
  </si>
  <si>
    <t>College at Wise: Dining Hall Package 6</t>
  </si>
  <si>
    <t>CAS Research Building - Core and Shell Package Construction</t>
  </si>
  <si>
    <t>College at Wise: Multipurpose Center Package #01D - Final Building Package</t>
  </si>
  <si>
    <t>Quesenberry's Construction</t>
  </si>
  <si>
    <t>CAS Research Building - Interior Package</t>
  </si>
  <si>
    <t>The Christman Company</t>
  </si>
  <si>
    <t>Garrett Hall Renovation - General Construction</t>
  </si>
  <si>
    <t>ITE Research Building (Rice Building) - Interior Package</t>
  </si>
  <si>
    <t>ITE Research Building (Rice Hall) - Core and Shell Package Construction</t>
  </si>
  <si>
    <t>Old Jordan Hall HVAC Replacement Project - Construction Phase</t>
  </si>
  <si>
    <t>DPR Construction, Inc.</t>
  </si>
  <si>
    <t>New Cabell Hall Renovation - Proc&amp;Const Phase Services &amp; Complete Const. Pkg</t>
  </si>
  <si>
    <t>Barton Malow Company</t>
  </si>
  <si>
    <t>Thrust Theater Expansion Construction</t>
  </si>
  <si>
    <t>East Chiller Plant &amp; Lee Street Realignment - Construction Phase II</t>
  </si>
  <si>
    <t>Gilbane Building Company</t>
  </si>
  <si>
    <t>East Chiller Plant &amp; Lee Street Realignment - Construction Phase III</t>
  </si>
  <si>
    <t>Alderman Road Residence Hall #6 - Building Construction Package</t>
  </si>
  <si>
    <t>North Grounds Mechanical Plant Full Trade Construction</t>
  </si>
  <si>
    <t>Martin Horn, Inc.</t>
  </si>
  <si>
    <t>Rotunda Renovations - Package 1 (Including CM Services Fee)</t>
  </si>
  <si>
    <t>Rotunda Renovations - Package 2</t>
  </si>
  <si>
    <t>Rotunda Renovations - Package 3</t>
  </si>
  <si>
    <t>ERC - Construction Phase Services &amp; Building Construction</t>
  </si>
  <si>
    <t>Indoor Practice Facility - Field House (Building Package)</t>
  </si>
  <si>
    <t>North Grounds Recreation Center Expansion - Complete Working Drawings Documents</t>
  </si>
  <si>
    <t>Ruffner Hall Renovation - Construction Phase Services &amp; Construction Package</t>
  </si>
  <si>
    <t>College at Wise: New Library Main Construction Package</t>
  </si>
  <si>
    <t>South Lawn Site Improvements (Package 16 - RFP #: 07-118)</t>
  </si>
  <si>
    <t>Faulconer Construction Co., Inc.</t>
  </si>
  <si>
    <t>College at Wise: Science Building Renovation</t>
  </si>
  <si>
    <t>Bavaro Hall - Curry School of Education Building Project</t>
  </si>
  <si>
    <t>Emily Couric Cancer Center - Mechanical Package 007</t>
  </si>
  <si>
    <t>Sullivan Mechanical Contractors, Inc.</t>
  </si>
  <si>
    <t>Emily Couric Cancer Center - Electrical Package 010</t>
  </si>
  <si>
    <t>M.C. Dean, Inc.</t>
  </si>
  <si>
    <t>CAS Research Building - Construction Phase &amp; Site Utilities</t>
  </si>
  <si>
    <t>College at Wise: Smiddy Hall/New IT Facility</t>
  </si>
  <si>
    <t>AFC Chiller Plant Expansion - Buy Out Package</t>
  </si>
  <si>
    <t>Hospital Bed Expansion - Electrical Package 010</t>
  </si>
  <si>
    <t>Design Electric, Inc.</t>
  </si>
  <si>
    <t>Hospital Bed Expansion - Mechanical Package 011</t>
  </si>
  <si>
    <t>Riddleberger Brothers, Inc.</t>
  </si>
  <si>
    <t>CAS Research Building - MEP &amp; Fire Protection Package</t>
  </si>
  <si>
    <t>SEAS Information Tech &amp; Engineering Buiding - MEP &amp; Fire Protection Package</t>
  </si>
  <si>
    <t>SEAS Information Tech &amp; Engineering Building - Construction Phase &amp; Site Utilities</t>
  </si>
  <si>
    <t>ITC Data Center</t>
  </si>
  <si>
    <t>Holder Construction Group, LLC.</t>
  </si>
  <si>
    <t>Alderman Road Residence Hall #1 - Package #1B, Site/Utility/Landscape and Construction</t>
  </si>
  <si>
    <t>Alderman Road Residence Hall #2 - Package #2B, Site/Utility/Landscape and Construction</t>
  </si>
  <si>
    <t>Alderman Road Residences: Phase III, Design/Build Services - Package 2 - Construction</t>
  </si>
  <si>
    <t>Alderman Road Residence Hall #5: Phase IV - Package 2 - Construction</t>
  </si>
  <si>
    <t>Newcomb Hall Dining Expansion - Construction Phase</t>
  </si>
  <si>
    <t>Sole Source</t>
  </si>
  <si>
    <t>R.E. Lee &amp; Sons, Inc.</t>
  </si>
  <si>
    <t>McCormick Road Houses Renovations</t>
  </si>
  <si>
    <t>International Residence College Renovation</t>
  </si>
  <si>
    <t>Gilmer Hall &amp; Chemistry Building Renovation</t>
  </si>
  <si>
    <t>VA State Univ.</t>
  </si>
  <si>
    <t>Lockett Hall Renovations</t>
  </si>
  <si>
    <t>VA Tech</t>
  </si>
  <si>
    <t>AJ Renovation</t>
  </si>
  <si>
    <t>ICTAS II</t>
  </si>
  <si>
    <t>McComas Addition</t>
  </si>
  <si>
    <t>Visitor &amp; Admissions Center</t>
  </si>
  <si>
    <t>BE&amp;K Building Group, LLC.</t>
  </si>
  <si>
    <t>Infectious Disease Research Lab</t>
  </si>
  <si>
    <t>Performing Arts Center</t>
  </si>
  <si>
    <t>Academic &amp; Student Affairs Building</t>
  </si>
  <si>
    <t>West End Market Renovation</t>
  </si>
  <si>
    <t>Veterinary Medicine Instruction Addition</t>
  </si>
  <si>
    <t>Signature Engineering Building</t>
  </si>
  <si>
    <t>Human &amp; Agricultural Biosciences Building I</t>
  </si>
  <si>
    <t>Davidson Hall Renovations Phase I</t>
  </si>
  <si>
    <t>Chiller Plant Phase I</t>
  </si>
  <si>
    <t>Upper Quad Residential Facilities</t>
  </si>
  <si>
    <t>Henderson Hall Renovations &amp; Black Box</t>
  </si>
  <si>
    <t>Avis Construction</t>
  </si>
  <si>
    <t>Parking Structure</t>
  </si>
  <si>
    <t>Addition to Jamerson/Football Locker Rooom</t>
  </si>
  <si>
    <t>VTCRI 3rd Floor Upfit</t>
  </si>
  <si>
    <t>Indoor Athletic Training Facility</t>
  </si>
  <si>
    <t>Unified Communications &amp; Network Renewal</t>
  </si>
  <si>
    <t>Internal</t>
  </si>
  <si>
    <t>Internal Forces</t>
  </si>
  <si>
    <t>Dairy Science Relocation</t>
  </si>
  <si>
    <t>Lease Capital</t>
  </si>
  <si>
    <t>Captial Lease</t>
  </si>
  <si>
    <t>VT/Carillion School of Medicine</t>
  </si>
  <si>
    <t>n/a</t>
  </si>
  <si>
    <t>Technology Research / Innovation Center</t>
  </si>
  <si>
    <t>Classroom Building</t>
  </si>
  <si>
    <t>Renovation/Renew Academic Buildings</t>
  </si>
  <si>
    <t>Athletic Improvements - Baseball Construction</t>
  </si>
  <si>
    <t>Athletic Improvements - Rector Construction</t>
  </si>
  <si>
    <t>O'Shaughnessy Hall Renovation</t>
  </si>
  <si>
    <t>VCCS</t>
  </si>
  <si>
    <t>J. Sargeant Reynolds CC - Building B Renovations (Parham Road Campus)</t>
  </si>
  <si>
    <t>Hourigan Construction</t>
  </si>
  <si>
    <t>J. Tyler CC - Bird Hall Renovations/Nicholas Center Renovations/Expansion</t>
  </si>
  <si>
    <t>LFCC - Academic Building</t>
  </si>
  <si>
    <t>NVCC - Academic Building Construction Phase VI (Annandale Campus)</t>
  </si>
  <si>
    <t>NVCC - Academic Buildings Construction Phase III (Loudoun Campus)</t>
  </si>
  <si>
    <t>NVCC - Academic Building Phase III (Manassas Campus)</t>
  </si>
  <si>
    <t>NVCC - Academic Building Construction Phase III (Woodbridge Campus)</t>
  </si>
  <si>
    <t>NVCC - Workforce Development Center (Woodbridge Campus)</t>
  </si>
  <si>
    <t>NVCC - Higher Education Center (Loudoun Campus)</t>
  </si>
  <si>
    <t>NVCC - Brault Building Expansion (Annandale Campus)</t>
  </si>
  <si>
    <t>Grunley Construction Company, Inc.</t>
  </si>
  <si>
    <t>NVCC - Tyler Academic Building Replacement</t>
  </si>
  <si>
    <t>Tidewater CC - Norfolk Student Center Construction</t>
  </si>
  <si>
    <t>Tidewater CC - Regional Health Professions Center (Virginia Beach)</t>
  </si>
  <si>
    <t>Tidewater CC - Learning Resource Center Construction (Virginia Beach)</t>
  </si>
  <si>
    <t>Tidewater CC - Student Center Construction (Virginia Beach)</t>
  </si>
  <si>
    <t>Tidewater CC - Academic Building &amp; Student Center Construction (Chesapeake)</t>
  </si>
  <si>
    <t>Tidewater CC - Bayside Building Renovations (Virginia Beach)</t>
  </si>
  <si>
    <t>Tidewater CC - Parking Garage Construction (Chesapeake)</t>
  </si>
  <si>
    <t>Tidewater CC - Student Center Construction (Portsmouth)</t>
  </si>
  <si>
    <t>VCU</t>
  </si>
  <si>
    <t>Medical Sciences Building</t>
  </si>
  <si>
    <t>Monroe Park &amp; MCV Campus Recreational Facilities (Cary St.)</t>
  </si>
  <si>
    <t>Monroe Park &amp; MCV Campus Recreational Facilities (Larrick)</t>
  </si>
  <si>
    <t>School of Dentistry Addition</t>
  </si>
  <si>
    <t>School of Medicine - McGlothlin Building</t>
  </si>
  <si>
    <t>University Learning Center - New Classroom Building</t>
  </si>
  <si>
    <t>Institute of Contemporary Art</t>
  </si>
  <si>
    <t>Massey Cancer Center - Vivarium - Lab Support</t>
  </si>
  <si>
    <t>Information Commons &amp; Libraries</t>
  </si>
  <si>
    <t>Virginia Treatment Center for Children</t>
  </si>
  <si>
    <t>Sanger Hall Renovation of 4th Floor Phase II</t>
  </si>
  <si>
    <t>West Grace/West Broad/Ryland St. Housing</t>
  </si>
  <si>
    <t>Belvidere &amp; Grace St. Parking Decks</t>
  </si>
  <si>
    <t>West Grace Street Housing North</t>
  </si>
  <si>
    <t>West Grace Street Housing &amp; Lauren Deck South</t>
  </si>
  <si>
    <t>Sanger Hall Renovations</t>
  </si>
  <si>
    <t>SRC, Inc.</t>
  </si>
  <si>
    <t>School of Allied Health Professions</t>
  </si>
  <si>
    <t>Engineering Research Building</t>
  </si>
  <si>
    <t>VMI</t>
  </si>
  <si>
    <t>Military &amp; Leadership Field Training Grounds</t>
  </si>
  <si>
    <t>Science Building Renovations</t>
  </si>
  <si>
    <t>CPTF Phase I</t>
  </si>
  <si>
    <t>CPTF Phase II</t>
  </si>
  <si>
    <t>Preston Library Renovation</t>
  </si>
  <si>
    <t>Post Infrastructure</t>
  </si>
  <si>
    <t>Scott Schipp Hall</t>
  </si>
  <si>
    <t>W&amp;M</t>
  </si>
  <si>
    <t>Tucker Hall Renovations</t>
  </si>
  <si>
    <t>Cohen Career Center Construction</t>
  </si>
  <si>
    <t>ISC 3 Construction</t>
  </si>
  <si>
    <t>Historic Campus Utilities Improvements</t>
  </si>
  <si>
    <t>Mid-Atlantic Infrastructure</t>
  </si>
  <si>
    <t>Historic Campus Utilities Improvements Phase II</t>
  </si>
  <si>
    <t>New Dorm Construction (Fraternities)</t>
  </si>
  <si>
    <t>Sadler Center Improvements</t>
  </si>
  <si>
    <t>Tyler Hall Renovations</t>
  </si>
  <si>
    <t>Chandler Hall Renovations</t>
  </si>
  <si>
    <t>Marshall Wythe School of Law Improvements</t>
  </si>
  <si>
    <t>Zable Stadium Renovations/Expansion (+18,112)</t>
  </si>
  <si>
    <t>One Trible Place Renovations</t>
  </si>
  <si>
    <t>Landrum Hall Renovations</t>
  </si>
  <si>
    <t>Fine Arts Phase 1 &amp; Phase 2</t>
  </si>
  <si>
    <t>Alumni House Expansion</t>
  </si>
  <si>
    <t>College Total</t>
  </si>
  <si>
    <t>Total Other Method $</t>
  </si>
  <si>
    <t>2008 Total</t>
  </si>
  <si>
    <t># Other Method Projects</t>
  </si>
  <si>
    <t>Total Project $</t>
  </si>
  <si>
    <t>% Other Method $</t>
  </si>
  <si>
    <t>2009 Total</t>
  </si>
  <si>
    <t>2010 Total</t>
  </si>
  <si>
    <t>2011 Total</t>
  </si>
  <si>
    <t>2012 Total</t>
  </si>
  <si>
    <t>Other Method Used %</t>
  </si>
  <si>
    <t>2013 Total</t>
  </si>
  <si>
    <t>2014 Total</t>
  </si>
  <si>
    <t>2015 Total</t>
  </si>
  <si>
    <t>2016 Total</t>
  </si>
  <si>
    <t>2017 Total</t>
  </si>
  <si>
    <t>GRAND TOTAL</t>
  </si>
  <si>
    <t>FORMER DATA</t>
  </si>
  <si>
    <t>$ Amount</t>
  </si>
  <si>
    <t>% OF PROJECTS</t>
  </si>
  <si>
    <t>% OF TOTAL $</t>
  </si>
  <si>
    <t>Total Projects</t>
  </si>
  <si>
    <t>Other Method Projects</t>
  </si>
  <si>
    <t>Competitive Bid Projects</t>
  </si>
  <si>
    <t>RESULTS COMBINED (OVERALL LOOK)</t>
  </si>
  <si>
    <t>Contractor Subtotals</t>
  </si>
  <si>
    <t># of Contracts</t>
  </si>
  <si>
    <t>% of $ per Contractor by School</t>
  </si>
  <si>
    <t>CNU Total</t>
  </si>
  <si>
    <t>GMU Total</t>
  </si>
  <si>
    <t>Project Year</t>
  </si>
  <si>
    <t>Project Amount</t>
  </si>
  <si>
    <t>JMU Total</t>
  </si>
  <si>
    <t>Longwood Total</t>
  </si>
  <si>
    <t>NSU Total</t>
  </si>
  <si>
    <t>Method Used</t>
  </si>
  <si>
    <t>Design/Bid</t>
  </si>
  <si>
    <t>ODU Total</t>
  </si>
  <si>
    <t>Radford Total</t>
  </si>
  <si>
    <t>UMW Total</t>
  </si>
  <si>
    <t>UVA Total</t>
  </si>
  <si>
    <t>VA State Univ. Total</t>
  </si>
  <si>
    <t>VA Tech Total</t>
  </si>
  <si>
    <t>Capital Lease</t>
  </si>
  <si>
    <t>VCCS Total</t>
  </si>
  <si>
    <t>VCU Total</t>
  </si>
  <si>
    <t>VMI Total</t>
  </si>
  <si>
    <t>W&amp;M Total</t>
  </si>
  <si>
    <t>Grand Total</t>
  </si>
  <si>
    <t>% of Projects = Other Methods</t>
  </si>
  <si>
    <t>% of $ = Other Methods</t>
  </si>
  <si>
    <t>Succesful Bidder/Proposer</t>
  </si>
  <si>
    <t>% of Total Projects</t>
  </si>
  <si>
    <t>% of Total $</t>
  </si>
  <si>
    <t>Data Pool</t>
  </si>
  <si>
    <t>Totals</t>
  </si>
  <si>
    <t>Ranking</t>
  </si>
  <si>
    <t>Company</t>
  </si>
  <si>
    <t>Rank</t>
  </si>
  <si>
    <t># Comp. Bid Projects</t>
  </si>
  <si>
    <t>% Other Method Projects</t>
  </si>
  <si>
    <t>Competitive Bid % of $</t>
  </si>
  <si>
    <t>Top 10 Total $</t>
  </si>
  <si>
    <t>Overall Total $</t>
  </si>
  <si>
    <t>FACTS</t>
  </si>
  <si>
    <t>Top 10 Total $ %</t>
  </si>
  <si>
    <t>Top 5</t>
  </si>
  <si>
    <t>Top 6</t>
  </si>
  <si>
    <t>Top 7</t>
  </si>
  <si>
    <t>Corps Physical Training Facility Phase III (Aquatic Center)</t>
  </si>
  <si>
    <t>RESULTS NEW DATA (2018-2021)</t>
  </si>
  <si>
    <t>RESULTS DATA (2015-2017)</t>
  </si>
  <si>
    <t>RESULTS DATA (2008-2014)</t>
  </si>
  <si>
    <t>DATA (2015-2017)</t>
  </si>
  <si>
    <t>DATA (2008-2014)</t>
  </si>
  <si>
    <t>NEW DATA (2018-2021)</t>
  </si>
  <si>
    <t>2018 Total</t>
  </si>
  <si>
    <t>Complete Renovation of Reed and Curie Halls</t>
  </si>
  <si>
    <t>New CAIC Building - Abatement, Demolition, and Construction of New Four Story Building</t>
  </si>
  <si>
    <t>2019 Total</t>
  </si>
  <si>
    <t>2020 Total</t>
  </si>
  <si>
    <t>2021 Total</t>
  </si>
  <si>
    <t>New Residential Complex</t>
  </si>
  <si>
    <t>Hylton Performing Arts Center Addition</t>
  </si>
  <si>
    <t>Improve Utility Distribution System</t>
  </si>
  <si>
    <t>Robinson Hall (Horizon Hall)</t>
  </si>
  <si>
    <t>James G. Davis Construction</t>
  </si>
  <si>
    <t xml:space="preserve">Robinson Hall (Horizon Hall) </t>
  </si>
  <si>
    <t>New Dining Hall Construction (West Campus Dining Hall)</t>
  </si>
  <si>
    <t>New Convocation Center/East Campus Parking Deck (Atlantic Union Bank Center)</t>
  </si>
  <si>
    <t>Addition to MT Carter Building</t>
  </si>
  <si>
    <t>BRCC - Biotechnology Building</t>
  </si>
  <si>
    <t>NVCC - Renovate Reynolds Academic Building (Loudoun Campus)</t>
  </si>
  <si>
    <t>SsVCC - Student Services/LRC Building (Christanna Campus)</t>
  </si>
  <si>
    <t>Kenbridge Construction Co., Inc.</t>
  </si>
  <si>
    <t xml:space="preserve">Kenbridge Construction Co., Inc. </t>
  </si>
  <si>
    <t>VWCC - Replace Anderson Hall (New STEM Building)</t>
  </si>
  <si>
    <t>ESCC - Replace Phase I Academic Building</t>
  </si>
  <si>
    <t>McKenzie Construction Corporation</t>
  </si>
  <si>
    <t>Paul Jennings Hall</t>
  </si>
  <si>
    <t>Chesapeake Parking Deck</t>
  </si>
  <si>
    <t>Jackson Hall Renovation</t>
  </si>
  <si>
    <t>East Campus Parking Deck</t>
  </si>
  <si>
    <t>Jepson Science Center Addition</t>
  </si>
  <si>
    <t>Willard Hall Renovation</t>
  </si>
  <si>
    <t>Seacobeck Hall Renovation</t>
  </si>
  <si>
    <t>Virginia Hall Renovation</t>
  </si>
  <si>
    <t xml:space="preserve">Virginia Hall Renovation </t>
  </si>
  <si>
    <t>Fine &amp; Performing Arts Complex-PBK (Whiting)</t>
  </si>
  <si>
    <t>Fine &amp; Performing Arts Complex-PBK (Holder)</t>
  </si>
  <si>
    <t>Sadler Center West Addition</t>
  </si>
  <si>
    <t>DPR Construction</t>
  </si>
  <si>
    <t>Construct West Utility Plant</t>
  </si>
  <si>
    <t>Construct Integrative Wellness Center</t>
  </si>
  <si>
    <t>One Tribe Place Remediation</t>
  </si>
  <si>
    <t>Integrative Science Center IV</t>
  </si>
  <si>
    <t>Muscarelle Museum Renovations</t>
  </si>
  <si>
    <t>Fine and Performing Arts Complex-PBK (Whiting)</t>
  </si>
  <si>
    <t>Muscarelle Museum Renvoations</t>
  </si>
  <si>
    <t>Construct Chemistry Building</t>
  </si>
  <si>
    <t>Stadium at Foreman Field</t>
  </si>
  <si>
    <t>Construct New Residence Hall - Owens House</t>
  </si>
  <si>
    <t>Scott House Renovations</t>
  </si>
  <si>
    <t>Rice Center Research Facility</t>
  </si>
  <si>
    <t>STEM Teaching Laboratory Building</t>
  </si>
  <si>
    <t>Trani Life Sciences Building; Roof &amp; HVAC Replacement</t>
  </si>
  <si>
    <t>Warwick Mechanical</t>
  </si>
  <si>
    <t>Trani Life Sciences Building: Roof &amp; HVAC Replacement</t>
  </si>
  <si>
    <t>Construct Admission Office</t>
  </si>
  <si>
    <t>Construct New Academic Building</t>
  </si>
  <si>
    <t>Jamerson-Lewis Construction, Inc.</t>
  </si>
  <si>
    <t>Wheeler Mall Steam Distribution System Replacement</t>
  </si>
  <si>
    <t>Faulconer Construction Company, Inc.</t>
  </si>
  <si>
    <t>Carr's Hill Renovation</t>
  </si>
  <si>
    <t>Alexander Nicholson, Inc.</t>
  </si>
  <si>
    <t>University Hall (U-Hall) Abatement &amp; Demolition</t>
  </si>
  <si>
    <t>Renascent, Inc.</t>
  </si>
  <si>
    <t>Main Heating Plant Boiler #6</t>
  </si>
  <si>
    <t>Greenland Enterprises, Inc.</t>
  </si>
  <si>
    <t>ECCCC 4th Floor Fit Out</t>
  </si>
  <si>
    <t>New Softball Stadium</t>
  </si>
  <si>
    <t>Athetics Complex Phase 1 Early Site Package</t>
  </si>
  <si>
    <t>Memorial to Enslaved Laborers</t>
  </si>
  <si>
    <t>Greenland Enterprise, Inc.</t>
  </si>
  <si>
    <t>Athletics Complex Phase 1 Early Site Package</t>
  </si>
  <si>
    <t>TOP 10 CONTRACTORS BY EARNED $ (2008-2021)</t>
  </si>
  <si>
    <t>-</t>
  </si>
  <si>
    <t>KEY</t>
  </si>
  <si>
    <t>Identifies projects from second data request of years 2015-2017</t>
  </si>
  <si>
    <t>Identifies projects from third data request of years 2018-2021</t>
  </si>
  <si>
    <t>Total Projects:</t>
  </si>
  <si>
    <t>Team Henry Enterprises</t>
  </si>
  <si>
    <t>Collective 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</si>
</sst>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$&quot;#,##0_);\(&quot;$&quot;#,##0\)"/>
    <numFmt numFmtId="164" formatCode="&quot;$&quot;#,##0"/>
    <numFmt numFmtId="165" formatCode="&quot;$&quot;#,##0.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45">
    <xf numFmtId="0" fontId="0" fillId="0" borderId="0" xfId="0"/>
    <xf numFmtId="164" fontId="0" fillId="0" borderId="0" xfId="0" applyNumberForma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0" fillId="0" borderId="1" xfId="0" applyBorder="1"/>
    <xf numFmtId="0" fontId="0" fillId="0" borderId="0" xfId="0" applyBorder="1"/>
    <xf numFmtId="164" fontId="0" fillId="0" borderId="0" xfId="0" applyNumberFormat="1" applyBorder="1"/>
    <xf numFmtId="0" fontId="0" fillId="0" borderId="0" xfId="0" applyAlignment="1">
      <alignment horizontal="center"/>
    </xf>
    <xf numFmtId="0" fontId="0" fillId="0" borderId="0" xfId="0" applyNumberFormat="1"/>
    <xf numFmtId="0" fontId="2" fillId="0" borderId="0" xfId="0" applyFont="1" applyAlignment="1">
      <alignment horizontal="center" vertical="center"/>
    </xf>
    <xf numFmtId="0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0" fontId="0" fillId="0" borderId="0" xfId="0" applyBorder="1" applyAlignment="1">
      <alignment horizontal="center"/>
    </xf>
    <xf numFmtId="10" fontId="2" fillId="0" borderId="0" xfId="0" applyNumberFormat="1" applyFont="1" applyAlignment="1">
      <alignment horizontal="center" vertical="center" wrapText="1"/>
    </xf>
    <xf numFmtId="10" fontId="0" fillId="0" borderId="0" xfId="0" applyNumberFormat="1"/>
    <xf numFmtId="0" fontId="0" fillId="0" borderId="0" xfId="0" applyNumberFormat="1" applyBorder="1"/>
    <xf numFmtId="10" fontId="0" fillId="0" borderId="0" xfId="0" applyNumberFormat="1" applyBorder="1"/>
    <xf numFmtId="0" fontId="0" fillId="0" borderId="0" xfId="0" applyFill="1"/>
    <xf numFmtId="164" fontId="0" fillId="0" borderId="0" xfId="0" applyNumberFormat="1" applyFill="1"/>
    <xf numFmtId="0" fontId="0" fillId="0" borderId="0" xfId="0" applyFill="1" applyBorder="1"/>
    <xf numFmtId="164" fontId="0" fillId="0" borderId="0" xfId="0" applyNumberFormat="1" applyFill="1" applyBorder="1"/>
    <xf numFmtId="0" fontId="0" fillId="0" borderId="7" xfId="0" applyBorder="1"/>
    <xf numFmtId="0" fontId="0" fillId="0" borderId="8" xfId="0" applyBorder="1"/>
    <xf numFmtId="0" fontId="0" fillId="0" borderId="7" xfId="0" applyBorder="1" applyAlignment="1">
      <alignment horizontal="right"/>
    </xf>
    <xf numFmtId="0" fontId="0" fillId="0" borderId="9" xfId="0" applyBorder="1"/>
    <xf numFmtId="0" fontId="0" fillId="0" borderId="10" xfId="0" applyBorder="1"/>
    <xf numFmtId="0" fontId="0" fillId="0" borderId="11" xfId="0" applyBorder="1"/>
    <xf numFmtId="10" fontId="0" fillId="0" borderId="9" xfId="0" applyNumberFormat="1" applyBorder="1"/>
    <xf numFmtId="10" fontId="0" fillId="0" borderId="11" xfId="0" applyNumberFormat="1" applyBorder="1"/>
    <xf numFmtId="10" fontId="0" fillId="0" borderId="12" xfId="0" applyNumberFormat="1" applyBorder="1"/>
    <xf numFmtId="164" fontId="0" fillId="0" borderId="11" xfId="0" applyNumberFormat="1" applyBorder="1"/>
    <xf numFmtId="0" fontId="0" fillId="0" borderId="0" xfId="0" applyAlignment="1">
      <alignment vertical="center"/>
    </xf>
    <xf numFmtId="164" fontId="0" fillId="0" borderId="0" xfId="0" applyNumberFormat="1" applyAlignment="1">
      <alignment vertical="center"/>
    </xf>
    <xf numFmtId="0" fontId="1" fillId="0" borderId="3" xfId="0" applyFont="1" applyBorder="1"/>
    <xf numFmtId="0" fontId="1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0" fillId="0" borderId="0" xfId="0" applyFill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5" borderId="2" xfId="0" applyFont="1" applyFill="1" applyBorder="1"/>
    <xf numFmtId="0" fontId="0" fillId="0" borderId="0" xfId="0" applyFill="1" applyBorder="1" applyAlignment="1">
      <alignment horizontal="left"/>
    </xf>
    <xf numFmtId="0" fontId="0" fillId="0" borderId="0" xfId="0" applyAlignment="1">
      <alignment horizontal="left"/>
    </xf>
    <xf numFmtId="0" fontId="1" fillId="5" borderId="2" xfId="0" applyFont="1" applyFill="1" applyBorder="1" applyAlignment="1">
      <alignment horizontal="left"/>
    </xf>
    <xf numFmtId="0" fontId="0" fillId="0" borderId="0" xfId="0" applyFill="1" applyAlignment="1">
      <alignment horizontal="left"/>
    </xf>
    <xf numFmtId="0" fontId="1" fillId="5" borderId="0" xfId="0" applyFont="1" applyFill="1" applyAlignment="1">
      <alignment horizontal="center"/>
    </xf>
    <xf numFmtId="0" fontId="0" fillId="0" borderId="17" xfId="0" applyFill="1" applyBorder="1"/>
    <xf numFmtId="0" fontId="0" fillId="0" borderId="0" xfId="0" applyFont="1" applyFill="1"/>
    <xf numFmtId="0" fontId="0" fillId="0" borderId="1" xfId="0" applyFont="1" applyFill="1" applyBorder="1"/>
    <xf numFmtId="0" fontId="1" fillId="5" borderId="0" xfId="0" applyFont="1" applyFill="1"/>
    <xf numFmtId="0" fontId="1" fillId="5" borderId="3" xfId="0" applyFont="1" applyFill="1" applyBorder="1" applyAlignment="1">
      <alignment horizontal="center"/>
    </xf>
    <xf numFmtId="0" fontId="0" fillId="0" borderId="0" xfId="0" applyAlignment="1">
      <alignment horizontal="right"/>
    </xf>
    <xf numFmtId="0" fontId="0" fillId="0" borderId="0" xfId="0" applyFill="1" applyAlignment="1">
      <alignment horizontal="right"/>
    </xf>
    <xf numFmtId="0" fontId="0" fillId="0" borderId="0" xfId="0" applyBorder="1" applyAlignment="1">
      <alignment horizontal="right"/>
    </xf>
    <xf numFmtId="0" fontId="3" fillId="0" borderId="0" xfId="0" applyFont="1" applyAlignment="1">
      <alignment horizontal="right" wrapText="1"/>
    </xf>
    <xf numFmtId="164" fontId="0" fillId="0" borderId="0" xfId="0" applyNumberFormat="1" applyFill="1" applyBorder="1" applyAlignment="1">
      <alignment horizontal="right"/>
    </xf>
    <xf numFmtId="164" fontId="0" fillId="0" borderId="0" xfId="0" applyNumberFormat="1" applyAlignment="1">
      <alignment horizontal="right"/>
    </xf>
    <xf numFmtId="164" fontId="1" fillId="5" borderId="2" xfId="0" applyNumberFormat="1" applyFont="1" applyFill="1" applyBorder="1" applyAlignment="1">
      <alignment horizontal="right"/>
    </xf>
    <xf numFmtId="164" fontId="0" fillId="0" borderId="0" xfId="0" applyNumberFormat="1" applyFill="1" applyAlignment="1">
      <alignment horizontal="right"/>
    </xf>
    <xf numFmtId="164" fontId="0" fillId="0" borderId="0" xfId="0" applyNumberFormat="1" applyBorder="1" applyAlignment="1">
      <alignment horizontal="right"/>
    </xf>
    <xf numFmtId="164" fontId="0" fillId="0" borderId="17" xfId="0" applyNumberFormat="1" applyFill="1" applyBorder="1" applyAlignment="1">
      <alignment horizontal="right"/>
    </xf>
    <xf numFmtId="164" fontId="0" fillId="0" borderId="0" xfId="0" applyNumberFormat="1" applyFont="1" applyFill="1" applyAlignment="1">
      <alignment horizontal="right"/>
    </xf>
    <xf numFmtId="164" fontId="0" fillId="0" borderId="1" xfId="0" applyNumberFormat="1" applyFont="1" applyFill="1" applyBorder="1" applyAlignment="1">
      <alignment horizontal="right"/>
    </xf>
    <xf numFmtId="164" fontId="1" fillId="0" borderId="0" xfId="0" applyNumberFormat="1" applyFont="1" applyAlignment="1">
      <alignment horizontal="right"/>
    </xf>
    <xf numFmtId="0" fontId="1" fillId="0" borderId="0" xfId="0" applyFont="1" applyAlignment="1">
      <alignment horizontal="right"/>
    </xf>
    <xf numFmtId="10" fontId="0" fillId="0" borderId="0" xfId="0" applyNumberFormat="1" applyAlignment="1">
      <alignment horizontal="right"/>
    </xf>
    <xf numFmtId="10" fontId="1" fillId="5" borderId="2" xfId="0" applyNumberFormat="1" applyFont="1" applyFill="1" applyBorder="1" applyAlignment="1">
      <alignment horizontal="right"/>
    </xf>
    <xf numFmtId="10" fontId="0" fillId="0" borderId="0" xfId="0" applyNumberFormat="1" applyFill="1" applyBorder="1" applyAlignment="1">
      <alignment horizontal="right"/>
    </xf>
    <xf numFmtId="164" fontId="1" fillId="5" borderId="18" xfId="0" applyNumberFormat="1" applyFont="1" applyFill="1" applyBorder="1" applyAlignment="1">
      <alignment horizontal="right"/>
    </xf>
    <xf numFmtId="164" fontId="1" fillId="5" borderId="19" xfId="0" applyNumberFormat="1" applyFont="1" applyFill="1" applyBorder="1" applyAlignment="1">
      <alignment horizontal="right"/>
    </xf>
    <xf numFmtId="0" fontId="2" fillId="0" borderId="0" xfId="0" applyFont="1" applyAlignment="1">
      <alignment horizontal="center" wrapText="1"/>
    </xf>
    <xf numFmtId="0" fontId="1" fillId="5" borderId="11" xfId="0" applyFont="1" applyFill="1" applyBorder="1"/>
    <xf numFmtId="10" fontId="1" fillId="5" borderId="0" xfId="0" applyNumberFormat="1" applyFont="1" applyFill="1"/>
    <xf numFmtId="0" fontId="1" fillId="5" borderId="0" xfId="0" applyFont="1" applyFill="1" applyBorder="1"/>
    <xf numFmtId="0" fontId="1" fillId="5" borderId="0" xfId="0" applyFont="1" applyFill="1" applyBorder="1" applyAlignment="1">
      <alignment horizontal="center"/>
    </xf>
    <xf numFmtId="0" fontId="1" fillId="5" borderId="11" xfId="0" applyFont="1" applyFill="1" applyBorder="1" applyAlignment="1">
      <alignment horizontal="center"/>
    </xf>
    <xf numFmtId="10" fontId="1" fillId="5" borderId="0" xfId="0" applyNumberFormat="1" applyFont="1" applyFill="1" applyAlignment="1">
      <alignment horizontal="right"/>
    </xf>
    <xf numFmtId="10" fontId="1" fillId="5" borderId="11" xfId="0" applyNumberFormat="1" applyFont="1" applyFill="1" applyBorder="1" applyAlignment="1">
      <alignment horizontal="right"/>
    </xf>
    <xf numFmtId="0" fontId="0" fillId="0" borderId="0" xfId="0" applyNumberFormat="1" applyAlignment="1">
      <alignment horizontal="right"/>
    </xf>
    <xf numFmtId="0" fontId="1" fillId="5" borderId="0" xfId="0" applyFont="1" applyFill="1" applyAlignment="1">
      <alignment horizontal="right"/>
    </xf>
    <xf numFmtId="0" fontId="1" fillId="5" borderId="11" xfId="0" applyFont="1" applyFill="1" applyBorder="1" applyAlignment="1">
      <alignment horizontal="right"/>
    </xf>
    <xf numFmtId="0" fontId="1" fillId="5" borderId="0" xfId="0" applyFont="1" applyFill="1" applyBorder="1" applyAlignment="1">
      <alignment horizontal="right"/>
    </xf>
    <xf numFmtId="10" fontId="1" fillId="5" borderId="0" xfId="0" applyNumberFormat="1" applyFont="1" applyFill="1" applyBorder="1"/>
    <xf numFmtId="164" fontId="1" fillId="0" borderId="0" xfId="0" applyNumberFormat="1" applyFont="1"/>
    <xf numFmtId="165" fontId="0" fillId="0" borderId="0" xfId="0" applyNumberFormat="1"/>
    <xf numFmtId="0" fontId="0" fillId="0" borderId="0" xfId="0" applyNumberFormat="1" applyFill="1" applyBorder="1"/>
    <xf numFmtId="0" fontId="0" fillId="0" borderId="0" xfId="0" applyFill="1" applyBorder="1" applyAlignment="1">
      <alignment horizontal="right"/>
    </xf>
    <xf numFmtId="0" fontId="1" fillId="5" borderId="2" xfId="0" applyFont="1" applyFill="1" applyBorder="1" applyAlignment="1">
      <alignment horizontal="right"/>
    </xf>
    <xf numFmtId="0" fontId="0" fillId="0" borderId="17" xfId="0" applyFill="1" applyBorder="1" applyAlignment="1">
      <alignment horizontal="right"/>
    </xf>
    <xf numFmtId="0" fontId="0" fillId="0" borderId="0" xfId="0" applyFont="1" applyFill="1" applyAlignment="1">
      <alignment horizontal="right"/>
    </xf>
    <xf numFmtId="0" fontId="0" fillId="0" borderId="1" xfId="0" applyFont="1" applyFill="1" applyBorder="1" applyAlignment="1">
      <alignment horizontal="right"/>
    </xf>
    <xf numFmtId="0" fontId="1" fillId="0" borderId="0" xfId="0" applyFont="1" applyFill="1" applyBorder="1" applyAlignment="1">
      <alignment horizontal="right"/>
    </xf>
    <xf numFmtId="10" fontId="1" fillId="0" borderId="0" xfId="0" applyNumberFormat="1" applyFont="1"/>
    <xf numFmtId="0" fontId="2" fillId="0" borderId="11" xfId="0" applyFont="1" applyBorder="1" applyAlignment="1">
      <alignment horizontal="center"/>
    </xf>
    <xf numFmtId="0" fontId="2" fillId="0" borderId="11" xfId="0" applyFont="1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0" xfId="0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10" fontId="1" fillId="5" borderId="2" xfId="0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164" fontId="1" fillId="0" borderId="3" xfId="0" applyNumberFormat="1" applyFont="1" applyBorder="1" applyAlignment="1">
      <alignment horizontal="right"/>
    </xf>
    <xf numFmtId="10" fontId="1" fillId="0" borderId="3" xfId="0" applyNumberFormat="1" applyFont="1" applyBorder="1" applyAlignment="1">
      <alignment horizontal="right"/>
    </xf>
    <xf numFmtId="0" fontId="1" fillId="5" borderId="2" xfId="0" applyNumberFormat="1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0" fontId="0" fillId="0" borderId="0" xfId="0" applyNumberFormat="1" applyFill="1" applyBorder="1"/>
    <xf numFmtId="10" fontId="1" fillId="5" borderId="0" xfId="0" applyNumberFormat="1" applyFont="1" applyFill="1" applyBorder="1" applyAlignment="1">
      <alignment horizontal="right"/>
    </xf>
    <xf numFmtId="10" fontId="1" fillId="0" borderId="0" xfId="0" applyNumberFormat="1" applyFont="1" applyFill="1" applyBorder="1" applyAlignment="1">
      <alignment horizontal="right"/>
    </xf>
    <xf numFmtId="164" fontId="1" fillId="0" borderId="0" xfId="0" applyNumberFormat="1" applyFont="1" applyBorder="1" applyAlignment="1">
      <alignment horizontal="right"/>
    </xf>
    <xf numFmtId="10" fontId="1" fillId="0" borderId="0" xfId="0" applyNumberFormat="1" applyFont="1" applyBorder="1" applyAlignment="1">
      <alignment horizontal="right"/>
    </xf>
    <xf numFmtId="164" fontId="1" fillId="0" borderId="3" xfId="0" applyNumberFormat="1" applyFont="1" applyBorder="1"/>
    <xf numFmtId="0" fontId="1" fillId="0" borderId="3" xfId="0" applyFont="1" applyBorder="1" applyAlignment="1">
      <alignment horizontal="center"/>
    </xf>
    <xf numFmtId="10" fontId="1" fillId="0" borderId="0" xfId="0" applyNumberFormat="1" applyFont="1" applyFill="1" applyAlignment="1">
      <alignment horizontal="right"/>
    </xf>
    <xf numFmtId="0" fontId="0" fillId="0" borderId="5" xfId="0" applyBorder="1"/>
    <xf numFmtId="0" fontId="0" fillId="0" borderId="6" xfId="0" applyBorder="1"/>
    <xf numFmtId="164" fontId="0" fillId="3" borderId="0" xfId="0" applyNumberFormat="1" applyFill="1"/>
    <xf numFmtId="164" fontId="0" fillId="6" borderId="0" xfId="0" applyNumberFormat="1" applyFill="1"/>
    <xf numFmtId="0" fontId="3" fillId="0" borderId="11" xfId="0" applyFont="1" applyBorder="1" applyAlignment="1">
      <alignment horizontal="center"/>
    </xf>
    <xf numFmtId="164" fontId="3" fillId="0" borderId="11" xfId="0" applyNumberFormat="1" applyFont="1" applyBorder="1" applyAlignment="1">
      <alignment horizontal="center"/>
    </xf>
    <xf numFmtId="10" fontId="1" fillId="0" borderId="3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center"/>
    </xf>
    <xf numFmtId="164" fontId="0" fillId="2" borderId="0" xfId="0" applyNumberFormat="1" applyFill="1"/>
    <xf numFmtId="10" fontId="0" fillId="0" borderId="0" xfId="0" applyNumberFormat="1" applyFill="1"/>
    <xf numFmtId="0" fontId="0" fillId="2" borderId="0" xfId="0" applyFill="1"/>
    <xf numFmtId="0" fontId="0" fillId="6" borderId="0" xfId="0" applyFill="1"/>
    <xf numFmtId="0" fontId="0" fillId="3" borderId="0" xfId="0" applyFill="1"/>
    <xf numFmtId="3" fontId="0" fillId="0" borderId="0" xfId="0" applyNumberFormat="1"/>
    <xf numFmtId="0" fontId="4" fillId="0" borderId="0" xfId="0" applyFont="1"/>
    <xf numFmtId="164" fontId="1" fillId="0" borderId="0" xfId="0" applyNumberFormat="1" applyFont="1" applyBorder="1"/>
    <xf numFmtId="164" fontId="1" fillId="0" borderId="13" xfId="0" applyNumberFormat="1" applyFont="1" applyBorder="1"/>
    <xf numFmtId="0" fontId="0" fillId="0" borderId="17" xfId="0" applyBorder="1"/>
    <xf numFmtId="164" fontId="0" fillId="0" borderId="17" xfId="0" applyNumberFormat="1" applyBorder="1"/>
    <xf numFmtId="10" fontId="0" fillId="0" borderId="17" xfId="0" applyNumberFormat="1" applyBorder="1"/>
    <xf numFmtId="10" fontId="1" fillId="0" borderId="0" xfId="0" applyNumberFormat="1" applyFont="1" applyFill="1" applyBorder="1" applyAlignment="1">
      <alignment horizontal="center"/>
    </xf>
    <xf numFmtId="0" fontId="1" fillId="0" borderId="0" xfId="0" applyNumberFormat="1" applyFont="1" applyFill="1" applyBorder="1" applyAlignment="1">
      <alignment horizontal="center"/>
    </xf>
    <xf numFmtId="164" fontId="1" fillId="0" borderId="0" xfId="0" applyNumberFormat="1" applyFont="1" applyFill="1" applyBorder="1" applyAlignment="1">
      <alignment horizontal="right"/>
    </xf>
    <xf numFmtId="0" fontId="0" fillId="0" borderId="0" xfId="0" applyFont="1" applyFill="1" applyBorder="1" applyAlignment="1">
      <alignment horizontal="center"/>
    </xf>
    <xf numFmtId="164" fontId="0" fillId="0" borderId="0" xfId="0" applyNumberFormat="1" applyFont="1" applyFill="1" applyBorder="1" applyAlignment="1">
      <alignment horizontal="right"/>
    </xf>
    <xf numFmtId="10" fontId="0" fillId="0" borderId="0" xfId="0" applyNumberFormat="1" applyFont="1" applyFill="1" applyBorder="1" applyAlignment="1">
      <alignment horizontal="right"/>
    </xf>
    <xf numFmtId="10" fontId="0" fillId="0" borderId="0" xfId="0" applyNumberFormat="1" applyFont="1" applyFill="1" applyBorder="1" applyAlignment="1">
      <alignment horizontal="left"/>
    </xf>
    <xf numFmtId="0" fontId="0" fillId="0" borderId="0" xfId="0" applyFont="1" applyFill="1" applyBorder="1" applyAlignment="1">
      <alignment horizontal="left"/>
    </xf>
    <xf numFmtId="0" fontId="0" fillId="0" borderId="0" xfId="0" applyNumberFormat="1" applyFont="1" applyFill="1" applyBorder="1" applyAlignment="1">
      <alignment horizontal="left"/>
    </xf>
    <xf numFmtId="0" fontId="0" fillId="0" borderId="0" xfId="0" applyFont="1" applyFill="1" applyBorder="1" applyAlignment="1">
      <alignment horizontal="right"/>
    </xf>
    <xf numFmtId="0" fontId="0" fillId="0" borderId="0" xfId="0" applyFont="1" applyFill="1" applyBorder="1"/>
    <xf numFmtId="0" fontId="0" fillId="3" borderId="0" xfId="0" applyFill="1" applyBorder="1"/>
    <xf numFmtId="164" fontId="0" fillId="3" borderId="0" xfId="0" applyNumberFormat="1" applyFill="1" applyBorder="1"/>
    <xf numFmtId="0" fontId="0" fillId="6" borderId="0" xfId="0" applyFill="1" applyBorder="1"/>
    <xf numFmtId="164" fontId="0" fillId="6" borderId="0" xfId="0" applyNumberFormat="1" applyFill="1" applyBorder="1"/>
    <xf numFmtId="0" fontId="0" fillId="0" borderId="0" xfId="0" applyNumberFormat="1" applyFont="1" applyFill="1" applyBorder="1" applyAlignment="1">
      <alignment horizontal="center"/>
    </xf>
    <xf numFmtId="5" fontId="2" fillId="0" borderId="0" xfId="0" applyNumberFormat="1" applyFont="1" applyAlignment="1">
      <alignment horizontal="center"/>
    </xf>
    <xf numFmtId="5" fontId="0" fillId="0" borderId="0" xfId="0" applyNumberFormat="1" applyAlignment="1">
      <alignment horizontal="right"/>
    </xf>
    <xf numFmtId="5" fontId="1" fillId="5" borderId="0" xfId="0" applyNumberFormat="1" applyFont="1" applyFill="1" applyAlignment="1">
      <alignment horizontal="right"/>
    </xf>
    <xf numFmtId="5" fontId="0" fillId="0" borderId="0" xfId="0" applyNumberFormat="1"/>
    <xf numFmtId="5" fontId="1" fillId="5" borderId="11" xfId="0" applyNumberFormat="1" applyFont="1" applyFill="1" applyBorder="1" applyAlignment="1">
      <alignment horizontal="right"/>
    </xf>
    <xf numFmtId="5" fontId="0" fillId="0" borderId="0" xfId="0" applyNumberFormat="1" applyBorder="1" applyAlignment="1">
      <alignment horizontal="right"/>
    </xf>
    <xf numFmtId="5" fontId="1" fillId="5" borderId="0" xfId="0" applyNumberFormat="1" applyFont="1" applyFill="1" applyBorder="1" applyAlignment="1">
      <alignment horizontal="right"/>
    </xf>
    <xf numFmtId="5" fontId="1" fillId="5" borderId="0" xfId="0" applyNumberFormat="1" applyFont="1" applyFill="1"/>
    <xf numFmtId="5" fontId="0" fillId="0" borderId="0" xfId="0" applyNumberFormat="1" applyBorder="1"/>
    <xf numFmtId="5" fontId="1" fillId="5" borderId="0" xfId="0" applyNumberFormat="1" applyFont="1" applyFill="1" applyBorder="1"/>
    <xf numFmtId="5" fontId="0" fillId="0" borderId="0" xfId="0" applyNumberFormat="1" applyFill="1" applyBorder="1"/>
    <xf numFmtId="5" fontId="0" fillId="0" borderId="0" xfId="0" applyNumberFormat="1" applyFill="1"/>
    <xf numFmtId="5" fontId="1" fillId="0" borderId="3" xfId="0" applyNumberFormat="1" applyFont="1" applyBorder="1" applyAlignment="1">
      <alignment horizontal="right"/>
    </xf>
    <xf numFmtId="0" fontId="0" fillId="0" borderId="3" xfId="0" applyNumberFormat="1" applyBorder="1"/>
    <xf numFmtId="0" fontId="1" fillId="5" borderId="0" xfId="0" applyFont="1" applyFill="1" applyAlignment="1">
      <alignment horizontal="left"/>
    </xf>
    <xf numFmtId="0" fontId="0" fillId="3" borderId="17" xfId="0" applyFill="1" applyBorder="1"/>
    <xf numFmtId="164" fontId="0" fillId="3" borderId="17" xfId="0" applyNumberFormat="1" applyFill="1" applyBorder="1"/>
    <xf numFmtId="164" fontId="1" fillId="0" borderId="17" xfId="0" applyNumberFormat="1" applyFont="1" applyBorder="1"/>
    <xf numFmtId="0" fontId="1" fillId="5" borderId="0" xfId="0" applyFont="1" applyFill="1" applyBorder="1" applyAlignment="1">
      <alignment horizontal="left"/>
    </xf>
    <xf numFmtId="5" fontId="0" fillId="0" borderId="0" xfId="0" applyNumberFormat="1" applyFont="1" applyFill="1" applyBorder="1" applyAlignment="1">
      <alignment horizontal="right"/>
    </xf>
    <xf numFmtId="0" fontId="0" fillId="0" borderId="0" xfId="0" applyNumberFormat="1" applyFill="1"/>
    <xf numFmtId="0" fontId="1" fillId="5" borderId="11" xfId="0" applyFont="1" applyFill="1" applyBorder="1" applyAlignment="1">
      <alignment horizontal="left"/>
    </xf>
    <xf numFmtId="10" fontId="0" fillId="0" borderId="0" xfId="0" applyNumberFormat="1" applyFont="1" applyFill="1"/>
    <xf numFmtId="5" fontId="0" fillId="0" borderId="0" xfId="0" applyNumberFormat="1" applyFont="1" applyFill="1" applyBorder="1"/>
    <xf numFmtId="10" fontId="0" fillId="0" borderId="0" xfId="0" applyNumberFormat="1" applyFont="1" applyFill="1" applyAlignment="1">
      <alignment horizontal="right"/>
    </xf>
    <xf numFmtId="0" fontId="6" fillId="0" borderId="0" xfId="0" applyFont="1" applyFill="1" applyBorder="1"/>
    <xf numFmtId="164" fontId="6" fillId="0" borderId="0" xfId="0" applyNumberFormat="1" applyFont="1" applyFill="1" applyBorder="1"/>
    <xf numFmtId="0" fontId="6" fillId="6" borderId="0" xfId="0" applyFont="1" applyFill="1" applyBorder="1"/>
    <xf numFmtId="164" fontId="6" fillId="6" borderId="0" xfId="0" applyNumberFormat="1" applyFont="1" applyFill="1" applyBorder="1"/>
    <xf numFmtId="0" fontId="1" fillId="0" borderId="0" xfId="0" applyFont="1" applyFill="1" applyBorder="1"/>
    <xf numFmtId="0" fontId="1" fillId="0" borderId="0" xfId="0" applyFont="1" applyFill="1" applyBorder="1" applyAlignment="1">
      <alignment horizontal="left"/>
    </xf>
    <xf numFmtId="5" fontId="1" fillId="0" borderId="0" xfId="0" applyNumberFormat="1" applyFont="1" applyFill="1" applyBorder="1" applyAlignment="1">
      <alignment horizontal="right"/>
    </xf>
    <xf numFmtId="0" fontId="1" fillId="0" borderId="7" xfId="0" applyFont="1" applyBorder="1" applyAlignment="1">
      <alignment horizontal="right"/>
    </xf>
    <xf numFmtId="0" fontId="0" fillId="0" borderId="17" xfId="0" applyFill="1" applyBorder="1" applyAlignment="1">
      <alignment horizontal="center"/>
    </xf>
    <xf numFmtId="0" fontId="0" fillId="0" borderId="0" xfId="0" applyFont="1" applyFill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6" fillId="0" borderId="0" xfId="0" applyFont="1" applyFill="1" applyBorder="1" applyAlignment="1">
      <alignment horizontal="right"/>
    </xf>
    <xf numFmtId="0" fontId="0" fillId="0" borderId="0" xfId="0" applyNumberFormat="1" applyAlignment="1">
      <alignment horizontal="left"/>
    </xf>
    <xf numFmtId="0" fontId="0" fillId="5" borderId="0" xfId="0" applyFill="1"/>
    <xf numFmtId="0" fontId="2" fillId="5" borderId="0" xfId="0" applyFont="1" applyFill="1" applyBorder="1" applyAlignment="1">
      <alignment horizontal="center"/>
    </xf>
    <xf numFmtId="164" fontId="0" fillId="0" borderId="0" xfId="0" applyNumberFormat="1" applyFill="1" applyAlignment="1">
      <alignment horizontal="center"/>
    </xf>
    <xf numFmtId="0" fontId="0" fillId="0" borderId="1" xfId="0" applyFill="1" applyBorder="1"/>
    <xf numFmtId="0" fontId="0" fillId="0" borderId="13" xfId="0" applyBorder="1"/>
    <xf numFmtId="0" fontId="0" fillId="0" borderId="3" xfId="0" applyBorder="1"/>
    <xf numFmtId="0" fontId="0" fillId="2" borderId="0" xfId="0" applyFill="1" applyBorder="1"/>
    <xf numFmtId="164" fontId="0" fillId="2" borderId="0" xfId="0" applyNumberFormat="1" applyFill="1" applyBorder="1"/>
    <xf numFmtId="0" fontId="0" fillId="0" borderId="10" xfId="0" applyFill="1" applyBorder="1" applyAlignment="1">
      <alignment horizontal="right"/>
    </xf>
    <xf numFmtId="0" fontId="0" fillId="0" borderId="11" xfId="0" applyFill="1" applyBorder="1"/>
    <xf numFmtId="164" fontId="0" fillId="0" borderId="11" xfId="0" applyNumberFormat="1" applyFill="1" applyBorder="1"/>
    <xf numFmtId="10" fontId="0" fillId="0" borderId="11" xfId="0" applyNumberFormat="1" applyFill="1" applyBorder="1"/>
    <xf numFmtId="10" fontId="0" fillId="0" borderId="12" xfId="0" applyNumberFormat="1" applyFill="1" applyBorder="1"/>
    <xf numFmtId="164" fontId="0" fillId="0" borderId="1" xfId="0" applyNumberFormat="1" applyBorder="1"/>
    <xf numFmtId="164" fontId="1" fillId="0" borderId="1" xfId="0" applyNumberFormat="1" applyFont="1" applyBorder="1"/>
    <xf numFmtId="164" fontId="0" fillId="0" borderId="1" xfId="0" applyNumberFormat="1" applyFill="1" applyBorder="1"/>
    <xf numFmtId="164" fontId="0" fillId="0" borderId="0" xfId="0" applyNumberFormat="1" applyAlignment="1">
      <alignment horizontal="center"/>
    </xf>
    <xf numFmtId="0" fontId="0" fillId="3" borderId="0" xfId="0" applyFill="1" applyAlignment="1">
      <alignment horizontal="center"/>
    </xf>
    <xf numFmtId="0" fontId="0" fillId="3" borderId="0" xfId="0" applyFill="1" applyBorder="1" applyAlignment="1">
      <alignment horizontal="center"/>
    </xf>
    <xf numFmtId="164" fontId="0" fillId="3" borderId="0" xfId="0" applyNumberFormat="1" applyFill="1" applyAlignment="1">
      <alignment horizontal="right"/>
    </xf>
    <xf numFmtId="164" fontId="0" fillId="3" borderId="0" xfId="0" applyNumberFormat="1" applyFill="1" applyBorder="1" applyAlignment="1">
      <alignment horizontal="right"/>
    </xf>
    <xf numFmtId="0" fontId="1" fillId="0" borderId="1" xfId="0" applyFont="1" applyBorder="1" applyAlignment="1">
      <alignment horizontal="center"/>
    </xf>
    <xf numFmtId="0" fontId="3" fillId="6" borderId="14" xfId="0" applyFont="1" applyFill="1" applyBorder="1" applyAlignment="1">
      <alignment horizontal="center"/>
    </xf>
    <xf numFmtId="0" fontId="3" fillId="6" borderId="15" xfId="0" applyFont="1" applyFill="1" applyBorder="1" applyAlignment="1">
      <alignment horizontal="center"/>
    </xf>
    <xf numFmtId="0" fontId="3" fillId="6" borderId="16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3" borderId="14" xfId="0" applyFont="1" applyFill="1" applyBorder="1" applyAlignment="1">
      <alignment horizontal="center"/>
    </xf>
    <xf numFmtId="0" fontId="1" fillId="3" borderId="15" xfId="0" applyFont="1" applyFill="1" applyBorder="1" applyAlignment="1">
      <alignment horizontal="center"/>
    </xf>
    <xf numFmtId="0" fontId="1" fillId="3" borderId="16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3" fillId="6" borderId="20" xfId="0" applyFont="1" applyFill="1" applyBorder="1" applyAlignment="1">
      <alignment horizontal="center"/>
    </xf>
    <xf numFmtId="0" fontId="0" fillId="6" borderId="21" xfId="0" applyFill="1" applyBorder="1" applyAlignment="1">
      <alignment horizontal="center"/>
    </xf>
    <xf numFmtId="0" fontId="0" fillId="6" borderId="22" xfId="0" applyFill="1" applyBorder="1" applyAlignment="1">
      <alignment horizontal="center"/>
    </xf>
    <xf numFmtId="0" fontId="3" fillId="3" borderId="15" xfId="0" applyFont="1" applyFill="1" applyBorder="1" applyAlignment="1">
      <alignment horizontal="center"/>
    </xf>
    <xf numFmtId="0" fontId="3" fillId="3" borderId="16" xfId="0" applyFont="1" applyFill="1" applyBorder="1" applyAlignment="1">
      <alignment horizontal="center"/>
    </xf>
    <xf numFmtId="0" fontId="5" fillId="0" borderId="23" xfId="0" applyFont="1" applyFill="1" applyBorder="1" applyAlignment="1">
      <alignment horizontal="center" vertical="center" textRotation="90"/>
    </xf>
    <xf numFmtId="0" fontId="5" fillId="0" borderId="24" xfId="0" applyFont="1" applyFill="1" applyBorder="1" applyAlignment="1">
      <alignment horizontal="center" vertical="center" textRotation="90"/>
    </xf>
    <xf numFmtId="0" fontId="5" fillId="0" borderId="25" xfId="0" applyFont="1" applyFill="1" applyBorder="1" applyAlignment="1">
      <alignment horizontal="center" vertical="center" textRotation="90"/>
    </xf>
    <xf numFmtId="0" fontId="3" fillId="4" borderId="4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3" borderId="14" xfId="0" applyFont="1" applyFill="1" applyBorder="1" applyAlignment="1">
      <alignment horizontal="center"/>
    </xf>
    <xf numFmtId="0" fontId="2" fillId="3" borderId="15" xfId="0" applyFont="1" applyFill="1" applyBorder="1" applyAlignment="1">
      <alignment horizontal="center"/>
    </xf>
    <xf numFmtId="0" fontId="2" fillId="3" borderId="16" xfId="0" applyFont="1" applyFill="1" applyBorder="1" applyAlignment="1">
      <alignment horizontal="center"/>
    </xf>
    <xf numFmtId="0" fontId="2" fillId="6" borderId="14" xfId="0" applyFont="1" applyFill="1" applyBorder="1" applyAlignment="1">
      <alignment horizontal="center"/>
    </xf>
    <xf numFmtId="0" fontId="2" fillId="6" borderId="15" xfId="0" applyFont="1" applyFill="1" applyBorder="1" applyAlignment="1">
      <alignment horizontal="center"/>
    </xf>
    <xf numFmtId="0" fontId="2" fillId="6" borderId="16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00FF"/>
      <color rgb="FF66FFCC"/>
      <color rgb="FFFF66FF"/>
      <color rgb="FF66FF33"/>
      <color rgb="FFB2B2B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G287"/>
  <sheetViews>
    <sheetView zoomScaleNormal="100" workbookViewId="0"/>
  </sheetViews>
  <sheetFormatPr defaultRowHeight="15" x14ac:dyDescent="0.25"/>
  <cols>
    <col min="1" max="1" width="13.7109375" bestFit="1" customWidth="1"/>
    <col min="2" max="2" width="9.7109375" bestFit="1" customWidth="1"/>
    <col min="3" max="3" width="81.28515625" bestFit="1" customWidth="1"/>
    <col min="4" max="4" width="23.42578125" bestFit="1" customWidth="1"/>
    <col min="5" max="5" width="34" bestFit="1" customWidth="1"/>
    <col min="6" max="6" width="13.85546875" style="1" bestFit="1" customWidth="1"/>
    <col min="7" max="7" width="16.140625" bestFit="1" customWidth="1"/>
    <col min="8" max="8" width="13.85546875" bestFit="1" customWidth="1"/>
  </cols>
  <sheetData>
    <row r="2" spans="1:7" x14ac:dyDescent="0.25">
      <c r="A2" s="211" t="s">
        <v>441</v>
      </c>
      <c r="B2" s="211"/>
      <c r="C2" s="211"/>
    </row>
    <row r="3" spans="1:7" x14ac:dyDescent="0.25">
      <c r="A3" s="127"/>
      <c r="B3" s="187" t="s">
        <v>440</v>
      </c>
      <c r="C3" t="s">
        <v>442</v>
      </c>
    </row>
    <row r="4" spans="1:7" x14ac:dyDescent="0.25">
      <c r="A4" s="126"/>
      <c r="B4" s="187" t="s">
        <v>440</v>
      </c>
      <c r="C4" t="s">
        <v>443</v>
      </c>
    </row>
    <row r="5" spans="1:7" x14ac:dyDescent="0.25">
      <c r="A5" s="19"/>
      <c r="B5" s="187"/>
    </row>
    <row r="6" spans="1:7" x14ac:dyDescent="0.25">
      <c r="A6" s="19"/>
      <c r="B6" s="187"/>
    </row>
    <row r="8" spans="1:7" s="129" customFormat="1" ht="19.5" thickBot="1" x14ac:dyDescent="0.35">
      <c r="A8" s="119" t="s">
        <v>0</v>
      </c>
      <c r="B8" s="119" t="s">
        <v>1</v>
      </c>
      <c r="C8" s="119" t="s">
        <v>2</v>
      </c>
      <c r="D8" s="119" t="s">
        <v>3</v>
      </c>
      <c r="E8" s="119" t="s">
        <v>4</v>
      </c>
      <c r="F8" s="120" t="s">
        <v>5</v>
      </c>
      <c r="G8" s="119" t="s">
        <v>294</v>
      </c>
    </row>
    <row r="9" spans="1:7" x14ac:dyDescent="0.25">
      <c r="A9" t="s">
        <v>6</v>
      </c>
      <c r="B9">
        <v>2010</v>
      </c>
      <c r="C9" t="s">
        <v>7</v>
      </c>
      <c r="D9" t="s">
        <v>8</v>
      </c>
      <c r="E9" t="s">
        <v>9</v>
      </c>
      <c r="F9" s="1">
        <v>27800000</v>
      </c>
    </row>
    <row r="10" spans="1:7" x14ac:dyDescent="0.25">
      <c r="A10" t="s">
        <v>6</v>
      </c>
      <c r="B10">
        <v>2010</v>
      </c>
      <c r="C10" t="s">
        <v>10</v>
      </c>
      <c r="D10" t="s">
        <v>8</v>
      </c>
      <c r="E10" t="s">
        <v>11</v>
      </c>
      <c r="F10" s="1">
        <v>58700000</v>
      </c>
    </row>
    <row r="11" spans="1:7" x14ac:dyDescent="0.25">
      <c r="A11" t="s">
        <v>6</v>
      </c>
      <c r="B11">
        <v>2011</v>
      </c>
      <c r="C11" t="s">
        <v>12</v>
      </c>
      <c r="D11" t="s">
        <v>8</v>
      </c>
      <c r="E11" t="s">
        <v>11</v>
      </c>
      <c r="F11" s="1">
        <v>16400000</v>
      </c>
    </row>
    <row r="12" spans="1:7" x14ac:dyDescent="0.25">
      <c r="A12" t="s">
        <v>6</v>
      </c>
      <c r="B12">
        <v>2011</v>
      </c>
      <c r="C12" t="s">
        <v>13</v>
      </c>
      <c r="D12" t="s">
        <v>8</v>
      </c>
      <c r="E12" t="s">
        <v>11</v>
      </c>
      <c r="F12" s="1">
        <v>45100000</v>
      </c>
    </row>
    <row r="13" spans="1:7" x14ac:dyDescent="0.25">
      <c r="A13" t="s">
        <v>6</v>
      </c>
      <c r="B13">
        <v>2012</v>
      </c>
      <c r="C13" t="s">
        <v>14</v>
      </c>
      <c r="D13" t="s">
        <v>8</v>
      </c>
      <c r="E13" t="s">
        <v>9</v>
      </c>
      <c r="F13" s="1">
        <v>33100000</v>
      </c>
    </row>
    <row r="14" spans="1:7" x14ac:dyDescent="0.25">
      <c r="A14" t="s">
        <v>6</v>
      </c>
      <c r="B14">
        <v>2012</v>
      </c>
      <c r="C14" t="s">
        <v>15</v>
      </c>
      <c r="D14" t="s">
        <v>8</v>
      </c>
      <c r="E14" t="s">
        <v>9</v>
      </c>
      <c r="F14" s="1">
        <v>6400000</v>
      </c>
    </row>
    <row r="15" spans="1:7" x14ac:dyDescent="0.25">
      <c r="A15" t="s">
        <v>6</v>
      </c>
      <c r="B15">
        <v>2014</v>
      </c>
      <c r="C15" t="s">
        <v>16</v>
      </c>
      <c r="D15" t="s">
        <v>8</v>
      </c>
      <c r="E15" t="s">
        <v>11</v>
      </c>
      <c r="F15" s="1">
        <v>42000000</v>
      </c>
    </row>
    <row r="16" spans="1:7" x14ac:dyDescent="0.25">
      <c r="A16" s="127" t="s">
        <v>6</v>
      </c>
      <c r="B16" s="127">
        <v>2016</v>
      </c>
      <c r="C16" s="127" t="s">
        <v>17</v>
      </c>
      <c r="D16" s="127" t="s">
        <v>8</v>
      </c>
      <c r="E16" s="127" t="s">
        <v>9</v>
      </c>
      <c r="F16" s="117">
        <v>43418000</v>
      </c>
    </row>
    <row r="17" spans="1:7" x14ac:dyDescent="0.25">
      <c r="A17" s="127" t="s">
        <v>6</v>
      </c>
      <c r="B17" s="127">
        <v>2016</v>
      </c>
      <c r="C17" s="127" t="s">
        <v>18</v>
      </c>
      <c r="D17" s="127" t="s">
        <v>19</v>
      </c>
      <c r="E17" s="127" t="s">
        <v>11</v>
      </c>
      <c r="F17" s="117">
        <v>5835000</v>
      </c>
    </row>
    <row r="18" spans="1:7" x14ac:dyDescent="0.25">
      <c r="A18" s="127" t="s">
        <v>6</v>
      </c>
      <c r="B18" s="127">
        <v>2016</v>
      </c>
      <c r="C18" s="127" t="s">
        <v>20</v>
      </c>
      <c r="D18" s="127" t="s">
        <v>19</v>
      </c>
      <c r="E18" s="127" t="s">
        <v>21</v>
      </c>
      <c r="F18" s="117">
        <v>9500000</v>
      </c>
    </row>
    <row r="19" spans="1:7" x14ac:dyDescent="0.25">
      <c r="A19" s="146" t="s">
        <v>6</v>
      </c>
      <c r="B19" s="146">
        <v>2017</v>
      </c>
      <c r="C19" s="146" t="s">
        <v>22</v>
      </c>
      <c r="D19" s="146" t="s">
        <v>8</v>
      </c>
      <c r="E19" s="146" t="s">
        <v>11</v>
      </c>
      <c r="F19" s="147">
        <v>50464532</v>
      </c>
    </row>
    <row r="20" spans="1:7" x14ac:dyDescent="0.25">
      <c r="A20" s="193"/>
      <c r="B20" s="193"/>
      <c r="C20" s="193"/>
      <c r="D20" s="193"/>
      <c r="E20" s="193"/>
      <c r="F20" s="205"/>
      <c r="G20" s="204">
        <f>SUM(F9:F20)</f>
        <v>338717532</v>
      </c>
    </row>
    <row r="21" spans="1:7" x14ac:dyDescent="0.25">
      <c r="A21" s="132" t="s">
        <v>23</v>
      </c>
      <c r="B21" s="132">
        <v>2012</v>
      </c>
      <c r="C21" s="132" t="s">
        <v>24</v>
      </c>
      <c r="D21" s="132" t="s">
        <v>8</v>
      </c>
      <c r="E21" s="132" t="s">
        <v>49</v>
      </c>
      <c r="F21" s="133">
        <v>40567069</v>
      </c>
      <c r="G21" s="132"/>
    </row>
    <row r="22" spans="1:7" x14ac:dyDescent="0.25">
      <c r="A22" t="s">
        <v>23</v>
      </c>
      <c r="B22">
        <v>2014</v>
      </c>
      <c r="C22" t="s">
        <v>25</v>
      </c>
      <c r="D22" t="s">
        <v>8</v>
      </c>
      <c r="E22" t="s">
        <v>11</v>
      </c>
      <c r="F22" s="1">
        <v>40509946</v>
      </c>
    </row>
    <row r="23" spans="1:7" x14ac:dyDescent="0.25">
      <c r="A23" t="s">
        <v>23</v>
      </c>
      <c r="B23">
        <v>2011</v>
      </c>
      <c r="C23" t="s">
        <v>26</v>
      </c>
      <c r="D23" t="s">
        <v>19</v>
      </c>
      <c r="E23" t="s">
        <v>27</v>
      </c>
      <c r="F23" s="1">
        <v>6877000</v>
      </c>
    </row>
    <row r="24" spans="1:7" x14ac:dyDescent="0.25">
      <c r="A24" t="s">
        <v>23</v>
      </c>
      <c r="B24">
        <v>2012</v>
      </c>
      <c r="C24" t="s">
        <v>28</v>
      </c>
      <c r="D24" t="s">
        <v>19</v>
      </c>
      <c r="E24" t="s">
        <v>29</v>
      </c>
      <c r="F24" s="1">
        <v>5825000</v>
      </c>
    </row>
    <row r="25" spans="1:7" x14ac:dyDescent="0.25">
      <c r="A25" t="s">
        <v>23</v>
      </c>
      <c r="B25">
        <v>2014</v>
      </c>
      <c r="C25" t="s">
        <v>30</v>
      </c>
      <c r="D25" t="s">
        <v>19</v>
      </c>
      <c r="E25" t="s">
        <v>31</v>
      </c>
      <c r="F25" s="1">
        <v>8603478</v>
      </c>
    </row>
    <row r="26" spans="1:7" x14ac:dyDescent="0.25">
      <c r="A26" t="s">
        <v>23</v>
      </c>
      <c r="B26">
        <v>2009</v>
      </c>
      <c r="C26" t="s">
        <v>32</v>
      </c>
      <c r="D26" t="s">
        <v>33</v>
      </c>
      <c r="E26" t="s">
        <v>34</v>
      </c>
      <c r="F26" s="1">
        <v>17550000</v>
      </c>
    </row>
    <row r="27" spans="1:7" x14ac:dyDescent="0.25">
      <c r="A27" t="s">
        <v>23</v>
      </c>
      <c r="B27">
        <v>2010</v>
      </c>
      <c r="C27" t="s">
        <v>35</v>
      </c>
      <c r="D27" t="s">
        <v>33</v>
      </c>
      <c r="E27" t="s">
        <v>11</v>
      </c>
      <c r="F27" s="1">
        <v>8140138</v>
      </c>
    </row>
    <row r="28" spans="1:7" x14ac:dyDescent="0.25">
      <c r="A28" t="s">
        <v>23</v>
      </c>
      <c r="B28">
        <v>2010</v>
      </c>
      <c r="C28" t="s">
        <v>36</v>
      </c>
      <c r="D28" t="s">
        <v>33</v>
      </c>
      <c r="E28" t="s">
        <v>31</v>
      </c>
      <c r="F28" s="1">
        <v>47457000</v>
      </c>
    </row>
    <row r="29" spans="1:7" x14ac:dyDescent="0.25">
      <c r="A29" t="s">
        <v>23</v>
      </c>
      <c r="B29">
        <v>2011</v>
      </c>
      <c r="C29" t="s">
        <v>37</v>
      </c>
      <c r="D29" t="s">
        <v>33</v>
      </c>
      <c r="E29" t="s">
        <v>9</v>
      </c>
      <c r="F29" s="1">
        <v>11798750</v>
      </c>
    </row>
    <row r="30" spans="1:7" x14ac:dyDescent="0.25">
      <c r="A30" t="s">
        <v>23</v>
      </c>
      <c r="B30">
        <v>2012</v>
      </c>
      <c r="C30" t="s">
        <v>38</v>
      </c>
      <c r="D30" t="s">
        <v>33</v>
      </c>
      <c r="E30" t="s">
        <v>39</v>
      </c>
      <c r="F30" s="1">
        <v>12080000</v>
      </c>
    </row>
    <row r="31" spans="1:7" x14ac:dyDescent="0.25">
      <c r="A31" t="s">
        <v>23</v>
      </c>
      <c r="B31">
        <v>2013</v>
      </c>
      <c r="C31" t="s">
        <v>40</v>
      </c>
      <c r="D31" t="s">
        <v>33</v>
      </c>
      <c r="E31" t="s">
        <v>31</v>
      </c>
      <c r="F31" s="1">
        <v>15878554</v>
      </c>
    </row>
    <row r="32" spans="1:7" x14ac:dyDescent="0.25">
      <c r="A32" t="s">
        <v>23</v>
      </c>
      <c r="B32">
        <v>2013</v>
      </c>
      <c r="C32" t="s">
        <v>41</v>
      </c>
      <c r="D32" t="s">
        <v>33</v>
      </c>
      <c r="E32" t="s">
        <v>42</v>
      </c>
      <c r="F32" s="1">
        <v>15056821</v>
      </c>
    </row>
    <row r="33" spans="1:7" x14ac:dyDescent="0.25">
      <c r="A33" t="s">
        <v>23</v>
      </c>
      <c r="B33">
        <v>2009</v>
      </c>
      <c r="C33" t="s">
        <v>43</v>
      </c>
      <c r="D33" t="s">
        <v>44</v>
      </c>
      <c r="E33" t="s">
        <v>45</v>
      </c>
      <c r="F33" s="1">
        <v>50292000</v>
      </c>
    </row>
    <row r="34" spans="1:7" x14ac:dyDescent="0.25">
      <c r="A34" s="146" t="s">
        <v>23</v>
      </c>
      <c r="B34" s="146">
        <v>2016</v>
      </c>
      <c r="C34" s="146" t="s">
        <v>46</v>
      </c>
      <c r="D34" s="146" t="s">
        <v>8</v>
      </c>
      <c r="E34" s="146" t="s">
        <v>11</v>
      </c>
      <c r="F34" s="147">
        <v>54797710</v>
      </c>
    </row>
    <row r="35" spans="1:7" x14ac:dyDescent="0.25">
      <c r="A35" s="126" t="s">
        <v>23</v>
      </c>
      <c r="B35" s="126">
        <v>2019</v>
      </c>
      <c r="C35" s="126" t="s">
        <v>377</v>
      </c>
      <c r="D35" s="126" t="s">
        <v>8</v>
      </c>
      <c r="E35" s="126" t="s">
        <v>380</v>
      </c>
      <c r="F35" s="118">
        <v>11729047</v>
      </c>
    </row>
    <row r="36" spans="1:7" x14ac:dyDescent="0.25">
      <c r="A36" s="126" t="s">
        <v>23</v>
      </c>
      <c r="B36" s="126">
        <v>2018</v>
      </c>
      <c r="C36" s="126" t="s">
        <v>378</v>
      </c>
      <c r="D36" s="126" t="s">
        <v>8</v>
      </c>
      <c r="E36" s="126" t="s">
        <v>11</v>
      </c>
      <c r="F36" s="118">
        <v>45552547</v>
      </c>
    </row>
    <row r="37" spans="1:7" x14ac:dyDescent="0.25">
      <c r="A37" s="126" t="s">
        <v>23</v>
      </c>
      <c r="B37" s="126">
        <v>2021</v>
      </c>
      <c r="C37" s="126" t="s">
        <v>379</v>
      </c>
      <c r="D37" s="126" t="s">
        <v>8</v>
      </c>
      <c r="E37" s="126" t="s">
        <v>11</v>
      </c>
      <c r="F37" s="118">
        <v>97578892</v>
      </c>
    </row>
    <row r="38" spans="1:7" x14ac:dyDescent="0.25">
      <c r="A38" s="5"/>
      <c r="B38" s="5"/>
      <c r="C38" s="5"/>
      <c r="D38" s="5"/>
      <c r="E38" s="5"/>
      <c r="F38" s="203"/>
      <c r="G38" s="204">
        <f>SUM(F21:F38)</f>
        <v>490293952</v>
      </c>
    </row>
    <row r="39" spans="1:7" x14ac:dyDescent="0.25">
      <c r="A39" s="6" t="s">
        <v>47</v>
      </c>
      <c r="B39" s="6">
        <v>2008</v>
      </c>
      <c r="C39" s="6" t="s">
        <v>48</v>
      </c>
      <c r="D39" s="6" t="s">
        <v>8</v>
      </c>
      <c r="E39" s="6" t="s">
        <v>49</v>
      </c>
      <c r="F39" s="7">
        <v>18768000</v>
      </c>
      <c r="G39" s="6"/>
    </row>
    <row r="40" spans="1:7" x14ac:dyDescent="0.25">
      <c r="A40" t="s">
        <v>47</v>
      </c>
      <c r="B40">
        <v>2009</v>
      </c>
      <c r="C40" t="s">
        <v>50</v>
      </c>
      <c r="D40" t="s">
        <v>8</v>
      </c>
      <c r="E40" t="s">
        <v>49</v>
      </c>
      <c r="F40" s="1">
        <v>53950000</v>
      </c>
    </row>
    <row r="41" spans="1:7" x14ac:dyDescent="0.25">
      <c r="A41" t="s">
        <v>47</v>
      </c>
      <c r="B41">
        <v>2010</v>
      </c>
      <c r="C41" t="s">
        <v>51</v>
      </c>
      <c r="D41" t="s">
        <v>8</v>
      </c>
      <c r="E41" t="s">
        <v>52</v>
      </c>
      <c r="F41" s="1">
        <v>32926354</v>
      </c>
    </row>
    <row r="42" spans="1:7" x14ac:dyDescent="0.25">
      <c r="A42" t="s">
        <v>47</v>
      </c>
      <c r="B42">
        <v>2010</v>
      </c>
      <c r="C42" t="s">
        <v>53</v>
      </c>
      <c r="D42" t="s">
        <v>8</v>
      </c>
      <c r="E42" t="s">
        <v>49</v>
      </c>
      <c r="F42" s="1">
        <v>11394000</v>
      </c>
    </row>
    <row r="43" spans="1:7" x14ac:dyDescent="0.25">
      <c r="A43" t="s">
        <v>47</v>
      </c>
      <c r="B43">
        <v>2012</v>
      </c>
      <c r="C43" t="s">
        <v>54</v>
      </c>
      <c r="D43" t="s">
        <v>8</v>
      </c>
      <c r="E43" t="s">
        <v>9</v>
      </c>
      <c r="F43" s="1">
        <v>43577799</v>
      </c>
    </row>
    <row r="44" spans="1:7" x14ac:dyDescent="0.25">
      <c r="A44" t="s">
        <v>47</v>
      </c>
      <c r="B44">
        <v>2012</v>
      </c>
      <c r="C44" t="s">
        <v>55</v>
      </c>
      <c r="D44" t="s">
        <v>8</v>
      </c>
      <c r="E44" t="s">
        <v>52</v>
      </c>
      <c r="F44" s="1">
        <v>32646335</v>
      </c>
    </row>
    <row r="45" spans="1:7" x14ac:dyDescent="0.25">
      <c r="A45" t="s">
        <v>47</v>
      </c>
      <c r="B45">
        <v>2012</v>
      </c>
      <c r="C45" t="s">
        <v>68</v>
      </c>
      <c r="D45" t="s">
        <v>8</v>
      </c>
      <c r="E45" t="s">
        <v>9</v>
      </c>
      <c r="F45" s="1">
        <v>7936662</v>
      </c>
    </row>
    <row r="46" spans="1:7" x14ac:dyDescent="0.25">
      <c r="A46" t="s">
        <v>47</v>
      </c>
      <c r="B46">
        <v>2013</v>
      </c>
      <c r="C46" t="s">
        <v>56</v>
      </c>
      <c r="D46" t="s">
        <v>8</v>
      </c>
      <c r="E46" t="s">
        <v>49</v>
      </c>
      <c r="F46" s="1">
        <v>38996387</v>
      </c>
    </row>
    <row r="47" spans="1:7" x14ac:dyDescent="0.25">
      <c r="A47" t="s">
        <v>47</v>
      </c>
      <c r="B47">
        <v>2014</v>
      </c>
      <c r="C47" t="s">
        <v>57</v>
      </c>
      <c r="D47" t="s">
        <v>8</v>
      </c>
      <c r="E47" t="s">
        <v>58</v>
      </c>
      <c r="F47" s="1">
        <v>42712270</v>
      </c>
    </row>
    <row r="48" spans="1:7" x14ac:dyDescent="0.25">
      <c r="A48" t="s">
        <v>47</v>
      </c>
      <c r="B48">
        <v>2014</v>
      </c>
      <c r="C48" t="s">
        <v>59</v>
      </c>
      <c r="D48" t="s">
        <v>8</v>
      </c>
      <c r="E48" t="s">
        <v>52</v>
      </c>
      <c r="F48" s="1">
        <v>48789838</v>
      </c>
    </row>
    <row r="49" spans="1:7" x14ac:dyDescent="0.25">
      <c r="A49" t="s">
        <v>47</v>
      </c>
      <c r="B49">
        <v>2008</v>
      </c>
      <c r="C49" t="s">
        <v>60</v>
      </c>
      <c r="D49" t="s">
        <v>19</v>
      </c>
      <c r="E49" t="s">
        <v>61</v>
      </c>
      <c r="F49" s="1">
        <v>8618208</v>
      </c>
    </row>
    <row r="50" spans="1:7" x14ac:dyDescent="0.25">
      <c r="A50" t="s">
        <v>47</v>
      </c>
      <c r="B50">
        <v>2010</v>
      </c>
      <c r="C50" t="s">
        <v>62</v>
      </c>
      <c r="D50" t="s">
        <v>19</v>
      </c>
      <c r="E50" t="s">
        <v>61</v>
      </c>
      <c r="F50" s="1">
        <v>36200718</v>
      </c>
    </row>
    <row r="51" spans="1:7" x14ac:dyDescent="0.25">
      <c r="A51" t="s">
        <v>47</v>
      </c>
      <c r="B51">
        <v>2010</v>
      </c>
      <c r="C51" t="s">
        <v>63</v>
      </c>
      <c r="D51" t="s">
        <v>19</v>
      </c>
      <c r="E51" t="s">
        <v>64</v>
      </c>
      <c r="F51" s="1">
        <v>7698400</v>
      </c>
    </row>
    <row r="52" spans="1:7" x14ac:dyDescent="0.25">
      <c r="A52" s="127" t="s">
        <v>47</v>
      </c>
      <c r="B52" s="127">
        <v>2016</v>
      </c>
      <c r="C52" s="127" t="s">
        <v>65</v>
      </c>
      <c r="D52" s="127" t="s">
        <v>8</v>
      </c>
      <c r="E52" s="127" t="s">
        <v>9</v>
      </c>
      <c r="F52" s="117">
        <v>19543856</v>
      </c>
    </row>
    <row r="53" spans="1:7" x14ac:dyDescent="0.25">
      <c r="A53" s="127" t="s">
        <v>47</v>
      </c>
      <c r="B53" s="127">
        <v>2016</v>
      </c>
      <c r="C53" s="127" t="s">
        <v>66</v>
      </c>
      <c r="D53" s="127" t="s">
        <v>19</v>
      </c>
      <c r="E53" s="127" t="s">
        <v>67</v>
      </c>
      <c r="F53" s="117">
        <v>5869548</v>
      </c>
    </row>
    <row r="54" spans="1:7" x14ac:dyDescent="0.25">
      <c r="A54" s="127" t="s">
        <v>47</v>
      </c>
      <c r="B54" s="127">
        <v>2016</v>
      </c>
      <c r="C54" s="127" t="s">
        <v>382</v>
      </c>
      <c r="D54" s="127" t="s">
        <v>8</v>
      </c>
      <c r="E54" s="127" t="s">
        <v>52</v>
      </c>
      <c r="F54" s="117">
        <v>57312163</v>
      </c>
    </row>
    <row r="55" spans="1:7" x14ac:dyDescent="0.25">
      <c r="A55" s="127" t="s">
        <v>47</v>
      </c>
      <c r="B55" s="127">
        <v>2017</v>
      </c>
      <c r="C55" s="127" t="s">
        <v>383</v>
      </c>
      <c r="D55" s="127" t="s">
        <v>8</v>
      </c>
      <c r="E55" s="127" t="s">
        <v>69</v>
      </c>
      <c r="F55" s="117">
        <v>99000000</v>
      </c>
    </row>
    <row r="56" spans="1:7" x14ac:dyDescent="0.25">
      <c r="A56" s="127" t="s">
        <v>47</v>
      </c>
      <c r="B56" s="127">
        <v>2017</v>
      </c>
      <c r="C56" s="127" t="s">
        <v>70</v>
      </c>
      <c r="D56" s="127" t="s">
        <v>8</v>
      </c>
      <c r="E56" s="127" t="s">
        <v>9</v>
      </c>
      <c r="F56" s="117">
        <v>26228125</v>
      </c>
    </row>
    <row r="57" spans="1:7" x14ac:dyDescent="0.25">
      <c r="A57" s="127" t="s">
        <v>47</v>
      </c>
      <c r="B57" s="127">
        <v>2017</v>
      </c>
      <c r="C57" s="127" t="s">
        <v>71</v>
      </c>
      <c r="D57" s="127" t="s">
        <v>8</v>
      </c>
      <c r="E57" s="127" t="s">
        <v>58</v>
      </c>
      <c r="F57" s="117">
        <v>72835614</v>
      </c>
    </row>
    <row r="58" spans="1:7" x14ac:dyDescent="0.25">
      <c r="A58" s="146" t="s">
        <v>47</v>
      </c>
      <c r="B58" s="146">
        <v>2017</v>
      </c>
      <c r="C58" s="146" t="s">
        <v>72</v>
      </c>
      <c r="D58" s="146" t="s">
        <v>8</v>
      </c>
      <c r="E58" s="146" t="s">
        <v>61</v>
      </c>
      <c r="F58" s="147">
        <v>20409000</v>
      </c>
    </row>
    <row r="59" spans="1:7" x14ac:dyDescent="0.25">
      <c r="A59" s="148" t="s">
        <v>47</v>
      </c>
      <c r="B59" s="148">
        <v>2017</v>
      </c>
      <c r="C59" s="148" t="s">
        <v>393</v>
      </c>
      <c r="D59" s="148" t="s">
        <v>8</v>
      </c>
      <c r="E59" s="148" t="s">
        <v>9</v>
      </c>
      <c r="F59" s="149">
        <v>49740352</v>
      </c>
      <c r="G59" s="130"/>
    </row>
    <row r="60" spans="1:7" x14ac:dyDescent="0.25">
      <c r="A60" s="148" t="s">
        <v>47</v>
      </c>
      <c r="B60" s="148">
        <v>2018</v>
      </c>
      <c r="C60" s="148" t="s">
        <v>394</v>
      </c>
      <c r="D60" s="148" t="s">
        <v>33</v>
      </c>
      <c r="E60" s="148" t="s">
        <v>75</v>
      </c>
      <c r="F60" s="149">
        <v>12075000</v>
      </c>
      <c r="G60" s="130"/>
    </row>
    <row r="61" spans="1:7" x14ac:dyDescent="0.25">
      <c r="A61" s="148" t="s">
        <v>47</v>
      </c>
      <c r="B61" s="148">
        <v>2018</v>
      </c>
      <c r="C61" s="148" t="s">
        <v>395</v>
      </c>
      <c r="D61" s="148" t="s">
        <v>19</v>
      </c>
      <c r="E61" s="148" t="s">
        <v>61</v>
      </c>
      <c r="F61" s="149">
        <v>6164000</v>
      </c>
      <c r="G61" s="130"/>
    </row>
    <row r="62" spans="1:7" x14ac:dyDescent="0.25">
      <c r="A62" s="148" t="s">
        <v>47</v>
      </c>
      <c r="B62" s="148">
        <v>2018</v>
      </c>
      <c r="C62" s="148" t="s">
        <v>396</v>
      </c>
      <c r="D62" s="148" t="s">
        <v>8</v>
      </c>
      <c r="E62" s="148" t="s">
        <v>69</v>
      </c>
      <c r="F62" s="149">
        <v>36010447</v>
      </c>
      <c r="G62" s="130"/>
    </row>
    <row r="63" spans="1:7" x14ac:dyDescent="0.25">
      <c r="A63" s="21"/>
      <c r="B63" s="21"/>
      <c r="C63" s="21"/>
      <c r="D63" s="21"/>
      <c r="E63" s="21"/>
      <c r="F63" s="22"/>
      <c r="G63" s="130">
        <f>SUM(F39:F63)</f>
        <v>789403076</v>
      </c>
    </row>
    <row r="64" spans="1:7" x14ac:dyDescent="0.25">
      <c r="A64" s="132" t="s">
        <v>73</v>
      </c>
      <c r="B64" s="132">
        <v>2008</v>
      </c>
      <c r="C64" s="132" t="s">
        <v>74</v>
      </c>
      <c r="D64" s="132" t="s">
        <v>19</v>
      </c>
      <c r="E64" s="132" t="s">
        <v>75</v>
      </c>
      <c r="F64" s="133">
        <v>12143450</v>
      </c>
      <c r="G64" s="132"/>
    </row>
    <row r="65" spans="1:7" x14ac:dyDescent="0.25">
      <c r="A65" t="s">
        <v>73</v>
      </c>
      <c r="B65">
        <v>2009</v>
      </c>
      <c r="C65" t="s">
        <v>76</v>
      </c>
      <c r="D65" t="s">
        <v>19</v>
      </c>
      <c r="E65" t="s">
        <v>77</v>
      </c>
      <c r="F65" s="1">
        <v>16519000</v>
      </c>
    </row>
    <row r="66" spans="1:7" x14ac:dyDescent="0.25">
      <c r="A66" t="s">
        <v>73</v>
      </c>
      <c r="B66">
        <v>2013</v>
      </c>
      <c r="C66" t="s">
        <v>78</v>
      </c>
      <c r="D66" t="s">
        <v>19</v>
      </c>
      <c r="E66" t="s">
        <v>79</v>
      </c>
      <c r="F66" s="1">
        <v>6905660</v>
      </c>
    </row>
    <row r="67" spans="1:7" x14ac:dyDescent="0.25">
      <c r="A67" t="s">
        <v>73</v>
      </c>
      <c r="B67">
        <v>2013</v>
      </c>
      <c r="C67" t="s">
        <v>80</v>
      </c>
      <c r="D67" t="s">
        <v>19</v>
      </c>
      <c r="E67" t="s">
        <v>81</v>
      </c>
      <c r="F67" s="1">
        <v>12325000</v>
      </c>
    </row>
    <row r="68" spans="1:7" x14ac:dyDescent="0.25">
      <c r="A68" t="s">
        <v>73</v>
      </c>
      <c r="B68">
        <v>2013</v>
      </c>
      <c r="C68" t="s">
        <v>82</v>
      </c>
      <c r="D68" t="s">
        <v>19</v>
      </c>
      <c r="E68" t="s">
        <v>83</v>
      </c>
      <c r="F68" s="1">
        <v>7933000</v>
      </c>
    </row>
    <row r="69" spans="1:7" x14ac:dyDescent="0.25">
      <c r="A69" s="127" t="s">
        <v>73</v>
      </c>
      <c r="B69" s="127">
        <v>2016</v>
      </c>
      <c r="C69" s="127" t="s">
        <v>84</v>
      </c>
      <c r="D69" s="127" t="s">
        <v>19</v>
      </c>
      <c r="E69" s="127" t="s">
        <v>85</v>
      </c>
      <c r="F69" s="117">
        <v>6556593</v>
      </c>
    </row>
    <row r="70" spans="1:7" x14ac:dyDescent="0.25">
      <c r="A70" s="127" t="s">
        <v>73</v>
      </c>
      <c r="B70" s="127">
        <v>2013</v>
      </c>
      <c r="C70" s="127" t="s">
        <v>86</v>
      </c>
      <c r="D70" s="127" t="s">
        <v>8</v>
      </c>
      <c r="E70" s="127" t="s">
        <v>52</v>
      </c>
      <c r="F70" s="117">
        <v>28635950</v>
      </c>
    </row>
    <row r="71" spans="1:7" x14ac:dyDescent="0.25">
      <c r="A71" s="146" t="s">
        <v>73</v>
      </c>
      <c r="B71" s="146">
        <v>2017</v>
      </c>
      <c r="C71" s="146" t="s">
        <v>87</v>
      </c>
      <c r="D71" s="146" t="s">
        <v>19</v>
      </c>
      <c r="E71" s="146" t="s">
        <v>88</v>
      </c>
      <c r="F71" s="147">
        <v>5192800</v>
      </c>
    </row>
    <row r="72" spans="1:7" x14ac:dyDescent="0.25">
      <c r="A72" s="148" t="s">
        <v>73</v>
      </c>
      <c r="B72" s="148">
        <v>2018</v>
      </c>
      <c r="C72" s="148" t="s">
        <v>422</v>
      </c>
      <c r="D72" s="148" t="s">
        <v>19</v>
      </c>
      <c r="E72" s="148" t="s">
        <v>424</v>
      </c>
      <c r="F72" s="149">
        <v>7858846</v>
      </c>
    </row>
    <row r="73" spans="1:7" x14ac:dyDescent="0.25">
      <c r="A73" s="148" t="s">
        <v>73</v>
      </c>
      <c r="B73" s="148">
        <v>2018</v>
      </c>
      <c r="C73" s="148" t="s">
        <v>423</v>
      </c>
      <c r="D73" s="148" t="s">
        <v>19</v>
      </c>
      <c r="E73" s="148" t="s">
        <v>424</v>
      </c>
      <c r="F73" s="149">
        <v>16279217</v>
      </c>
    </row>
    <row r="74" spans="1:7" x14ac:dyDescent="0.25">
      <c r="A74" s="148" t="s">
        <v>73</v>
      </c>
      <c r="B74" s="148">
        <v>2020</v>
      </c>
      <c r="C74" s="148" t="s">
        <v>425</v>
      </c>
      <c r="D74" s="148" t="s">
        <v>19</v>
      </c>
      <c r="E74" s="148" t="s">
        <v>426</v>
      </c>
      <c r="F74" s="149">
        <v>5192800</v>
      </c>
    </row>
    <row r="75" spans="1:7" s="19" customFormat="1" x14ac:dyDescent="0.25">
      <c r="A75" s="193"/>
      <c r="B75" s="193"/>
      <c r="C75" s="193"/>
      <c r="D75" s="193"/>
      <c r="E75" s="193"/>
      <c r="F75" s="205"/>
      <c r="G75" s="204">
        <f>SUM(F64:F75)</f>
        <v>125542316</v>
      </c>
    </row>
    <row r="76" spans="1:7" x14ac:dyDescent="0.25">
      <c r="A76" s="146" t="s">
        <v>89</v>
      </c>
      <c r="B76" s="146">
        <v>2015</v>
      </c>
      <c r="C76" s="146" t="s">
        <v>90</v>
      </c>
      <c r="D76" s="146" t="s">
        <v>8</v>
      </c>
      <c r="E76" s="146" t="s">
        <v>69</v>
      </c>
      <c r="F76" s="147">
        <v>60584000</v>
      </c>
      <c r="G76" s="6"/>
    </row>
    <row r="77" spans="1:7" x14ac:dyDescent="0.25">
      <c r="A77" t="s">
        <v>89</v>
      </c>
      <c r="B77">
        <v>2010</v>
      </c>
      <c r="C77" t="s">
        <v>91</v>
      </c>
      <c r="D77" t="s">
        <v>8</v>
      </c>
      <c r="E77" t="s">
        <v>69</v>
      </c>
      <c r="F77" s="1">
        <v>37079649</v>
      </c>
    </row>
    <row r="78" spans="1:7" x14ac:dyDescent="0.25">
      <c r="A78" t="s">
        <v>89</v>
      </c>
      <c r="B78">
        <v>2010</v>
      </c>
      <c r="C78" t="s">
        <v>92</v>
      </c>
      <c r="D78" t="s">
        <v>8</v>
      </c>
      <c r="E78" t="s">
        <v>9</v>
      </c>
      <c r="F78" s="1">
        <v>38633403</v>
      </c>
    </row>
    <row r="79" spans="1:7" x14ac:dyDescent="0.25">
      <c r="A79" s="6" t="s">
        <v>89</v>
      </c>
      <c r="B79" s="6">
        <v>2013</v>
      </c>
      <c r="C79" s="6" t="s">
        <v>93</v>
      </c>
      <c r="D79" s="6" t="s">
        <v>8</v>
      </c>
      <c r="E79" s="6" t="s">
        <v>69</v>
      </c>
      <c r="F79" s="7">
        <v>37374141</v>
      </c>
    </row>
    <row r="80" spans="1:7" x14ac:dyDescent="0.25">
      <c r="A80" s="148" t="s">
        <v>89</v>
      </c>
      <c r="B80" s="148">
        <v>2018</v>
      </c>
      <c r="C80" s="148" t="s">
        <v>376</v>
      </c>
      <c r="D80" s="148" t="s">
        <v>33</v>
      </c>
      <c r="E80" s="148" t="s">
        <v>69</v>
      </c>
      <c r="F80" s="149">
        <v>50619880</v>
      </c>
    </row>
    <row r="81" spans="1:7" s="21" customFormat="1" x14ac:dyDescent="0.25">
      <c r="F81" s="22"/>
      <c r="G81" s="130">
        <f>SUM(F76:F81)</f>
        <v>224291073</v>
      </c>
    </row>
    <row r="82" spans="1:7" x14ac:dyDescent="0.25">
      <c r="A82" s="132" t="s">
        <v>94</v>
      </c>
      <c r="B82" s="132">
        <v>2011</v>
      </c>
      <c r="C82" s="132" t="s">
        <v>95</v>
      </c>
      <c r="D82" s="132" t="s">
        <v>8</v>
      </c>
      <c r="E82" s="132" t="s">
        <v>52</v>
      </c>
      <c r="F82" s="133">
        <v>14289497</v>
      </c>
      <c r="G82" s="132"/>
    </row>
    <row r="83" spans="1:7" x14ac:dyDescent="0.25">
      <c r="A83" t="s">
        <v>94</v>
      </c>
      <c r="B83">
        <v>2013</v>
      </c>
      <c r="C83" t="s">
        <v>96</v>
      </c>
      <c r="D83" t="s">
        <v>8</v>
      </c>
      <c r="E83" t="s">
        <v>69</v>
      </c>
      <c r="F83" s="1">
        <v>13000000</v>
      </c>
    </row>
    <row r="84" spans="1:7" x14ac:dyDescent="0.25">
      <c r="A84" t="s">
        <v>94</v>
      </c>
      <c r="B84">
        <v>2014</v>
      </c>
      <c r="C84" t="s">
        <v>97</v>
      </c>
      <c r="D84" t="s">
        <v>8</v>
      </c>
      <c r="E84" t="s">
        <v>69</v>
      </c>
      <c r="F84" s="1">
        <v>6000000</v>
      </c>
    </row>
    <row r="85" spans="1:7" x14ac:dyDescent="0.25">
      <c r="A85" t="s">
        <v>94</v>
      </c>
      <c r="B85">
        <v>2014</v>
      </c>
      <c r="C85" t="s">
        <v>98</v>
      </c>
      <c r="D85" t="s">
        <v>8</v>
      </c>
      <c r="E85" t="s">
        <v>69</v>
      </c>
      <c r="F85" s="1">
        <v>42600000</v>
      </c>
    </row>
    <row r="86" spans="1:7" x14ac:dyDescent="0.25">
      <c r="A86" t="s">
        <v>94</v>
      </c>
      <c r="B86">
        <v>2008</v>
      </c>
      <c r="C86" t="s">
        <v>99</v>
      </c>
      <c r="D86" t="s">
        <v>8</v>
      </c>
      <c r="E86" t="s">
        <v>9</v>
      </c>
      <c r="F86" s="1">
        <v>51016300</v>
      </c>
    </row>
    <row r="87" spans="1:7" x14ac:dyDescent="0.25">
      <c r="A87" t="s">
        <v>94</v>
      </c>
      <c r="B87">
        <v>2012</v>
      </c>
      <c r="C87" t="s">
        <v>100</v>
      </c>
      <c r="D87" t="s">
        <v>8</v>
      </c>
      <c r="E87" t="s">
        <v>52</v>
      </c>
      <c r="F87" s="1">
        <v>17000000</v>
      </c>
    </row>
    <row r="88" spans="1:7" x14ac:dyDescent="0.25">
      <c r="A88" t="s">
        <v>94</v>
      </c>
      <c r="B88">
        <v>2012</v>
      </c>
      <c r="C88" t="s">
        <v>101</v>
      </c>
      <c r="D88" t="s">
        <v>19</v>
      </c>
      <c r="E88" t="s">
        <v>9</v>
      </c>
      <c r="F88" s="1">
        <v>9000000</v>
      </c>
    </row>
    <row r="89" spans="1:7" x14ac:dyDescent="0.25">
      <c r="A89" s="146" t="s">
        <v>94</v>
      </c>
      <c r="B89" s="146">
        <v>2015</v>
      </c>
      <c r="C89" s="146" t="s">
        <v>102</v>
      </c>
      <c r="D89" s="146" t="s">
        <v>19</v>
      </c>
      <c r="E89" s="146" t="s">
        <v>103</v>
      </c>
      <c r="F89" s="147">
        <v>6592833</v>
      </c>
    </row>
    <row r="90" spans="1:7" x14ac:dyDescent="0.25">
      <c r="A90" s="148" t="s">
        <v>94</v>
      </c>
      <c r="B90" s="148">
        <v>2017</v>
      </c>
      <c r="C90" s="148" t="s">
        <v>415</v>
      </c>
      <c r="D90" s="148" t="s">
        <v>8</v>
      </c>
      <c r="E90" s="148" t="s">
        <v>9</v>
      </c>
      <c r="F90" s="149">
        <v>47788191</v>
      </c>
    </row>
    <row r="91" spans="1:7" x14ac:dyDescent="0.25">
      <c r="A91" s="148" t="s">
        <v>94</v>
      </c>
      <c r="B91" s="148">
        <v>2017</v>
      </c>
      <c r="C91" s="148" t="s">
        <v>413</v>
      </c>
      <c r="D91" s="148" t="s">
        <v>8</v>
      </c>
      <c r="E91" s="148" t="s">
        <v>9</v>
      </c>
      <c r="F91" s="149">
        <v>60236552</v>
      </c>
    </row>
    <row r="92" spans="1:7" x14ac:dyDescent="0.25">
      <c r="A92" s="148" t="s">
        <v>94</v>
      </c>
      <c r="B92" s="148">
        <v>2017</v>
      </c>
      <c r="C92" s="148" t="s">
        <v>414</v>
      </c>
      <c r="D92" s="148" t="s">
        <v>8</v>
      </c>
      <c r="E92" s="148" t="s">
        <v>69</v>
      </c>
      <c r="F92" s="149">
        <v>59609247</v>
      </c>
    </row>
    <row r="93" spans="1:7" s="19" customFormat="1" x14ac:dyDescent="0.25">
      <c r="A93" s="21"/>
      <c r="B93" s="21"/>
      <c r="C93" s="21"/>
      <c r="D93" s="21"/>
      <c r="E93" s="21"/>
      <c r="F93" s="22"/>
      <c r="G93" s="130">
        <f>SUM(F82:F93)</f>
        <v>327132620</v>
      </c>
    </row>
    <row r="94" spans="1:7" x14ac:dyDescent="0.25">
      <c r="A94" s="132" t="s">
        <v>104</v>
      </c>
      <c r="B94" s="132">
        <v>2010</v>
      </c>
      <c r="C94" s="132" t="s">
        <v>105</v>
      </c>
      <c r="D94" s="132" t="s">
        <v>8</v>
      </c>
      <c r="E94" s="132" t="s">
        <v>11</v>
      </c>
      <c r="F94" s="133">
        <v>35657770</v>
      </c>
      <c r="G94" s="132"/>
    </row>
    <row r="95" spans="1:7" x14ac:dyDescent="0.25">
      <c r="A95" t="s">
        <v>104</v>
      </c>
      <c r="B95">
        <v>2012</v>
      </c>
      <c r="C95" t="s">
        <v>106</v>
      </c>
      <c r="D95" t="s">
        <v>8</v>
      </c>
      <c r="E95" t="s">
        <v>9</v>
      </c>
      <c r="F95" s="1">
        <v>40632041</v>
      </c>
    </row>
    <row r="96" spans="1:7" x14ac:dyDescent="0.25">
      <c r="A96" t="s">
        <v>104</v>
      </c>
      <c r="B96">
        <v>2013</v>
      </c>
      <c r="C96" t="s">
        <v>107</v>
      </c>
      <c r="D96" t="s">
        <v>8</v>
      </c>
      <c r="E96" t="s">
        <v>52</v>
      </c>
      <c r="F96" s="1">
        <v>27750000</v>
      </c>
    </row>
    <row r="97" spans="1:7" x14ac:dyDescent="0.25">
      <c r="A97" t="s">
        <v>104</v>
      </c>
      <c r="B97">
        <v>2014</v>
      </c>
      <c r="C97" t="s">
        <v>108</v>
      </c>
      <c r="D97" t="s">
        <v>8</v>
      </c>
      <c r="E97" t="s">
        <v>69</v>
      </c>
      <c r="F97" s="1">
        <v>40214071</v>
      </c>
    </row>
    <row r="98" spans="1:7" x14ac:dyDescent="0.25">
      <c r="A98" t="s">
        <v>104</v>
      </c>
      <c r="B98">
        <v>2011</v>
      </c>
      <c r="C98" t="s">
        <v>109</v>
      </c>
      <c r="D98" t="s">
        <v>19</v>
      </c>
      <c r="E98" t="s">
        <v>110</v>
      </c>
      <c r="F98" s="1">
        <v>10280000</v>
      </c>
    </row>
    <row r="99" spans="1:7" x14ac:dyDescent="0.25">
      <c r="A99" t="s">
        <v>104</v>
      </c>
      <c r="B99">
        <v>2012</v>
      </c>
      <c r="C99" t="s">
        <v>111</v>
      </c>
      <c r="D99" t="s">
        <v>19</v>
      </c>
      <c r="E99" t="s">
        <v>112</v>
      </c>
      <c r="F99" s="1">
        <v>7800000</v>
      </c>
    </row>
    <row r="100" spans="1:7" x14ac:dyDescent="0.25">
      <c r="A100" t="s">
        <v>104</v>
      </c>
      <c r="B100">
        <v>2014</v>
      </c>
      <c r="C100" t="s">
        <v>113</v>
      </c>
      <c r="D100" t="s">
        <v>19</v>
      </c>
      <c r="E100" t="s">
        <v>112</v>
      </c>
      <c r="F100" s="1">
        <v>23275715</v>
      </c>
    </row>
    <row r="101" spans="1:7" x14ac:dyDescent="0.25">
      <c r="A101" t="s">
        <v>104</v>
      </c>
      <c r="B101">
        <v>2014</v>
      </c>
      <c r="C101" t="s">
        <v>114</v>
      </c>
      <c r="D101" t="s">
        <v>19</v>
      </c>
      <c r="E101" t="s">
        <v>115</v>
      </c>
      <c r="F101" s="1">
        <v>6424000</v>
      </c>
    </row>
    <row r="102" spans="1:7" x14ac:dyDescent="0.25">
      <c r="A102" t="s">
        <v>104</v>
      </c>
      <c r="B102">
        <v>2010</v>
      </c>
      <c r="C102" t="s">
        <v>116</v>
      </c>
      <c r="D102" t="s">
        <v>33</v>
      </c>
      <c r="E102" t="s">
        <v>110</v>
      </c>
      <c r="F102" s="1">
        <v>8481000</v>
      </c>
    </row>
    <row r="103" spans="1:7" x14ac:dyDescent="0.25">
      <c r="A103" s="127" t="s">
        <v>104</v>
      </c>
      <c r="B103" s="127">
        <v>2016</v>
      </c>
      <c r="C103" s="127" t="s">
        <v>117</v>
      </c>
      <c r="D103" s="127" t="s">
        <v>33</v>
      </c>
      <c r="E103" s="127" t="s">
        <v>112</v>
      </c>
      <c r="F103" s="117">
        <v>5643936</v>
      </c>
    </row>
    <row r="104" spans="1:7" x14ac:dyDescent="0.25">
      <c r="A104" s="146" t="s">
        <v>104</v>
      </c>
      <c r="B104" s="146">
        <v>2016</v>
      </c>
      <c r="C104" s="146" t="s">
        <v>118</v>
      </c>
      <c r="D104" s="146" t="s">
        <v>33</v>
      </c>
      <c r="E104" s="146" t="s">
        <v>112</v>
      </c>
      <c r="F104" s="147">
        <v>6380309</v>
      </c>
    </row>
    <row r="105" spans="1:7" x14ac:dyDescent="0.25">
      <c r="A105" s="148" t="s">
        <v>104</v>
      </c>
      <c r="B105" s="148">
        <v>2018</v>
      </c>
      <c r="C105" s="148" t="s">
        <v>371</v>
      </c>
      <c r="D105" s="148" t="s">
        <v>8</v>
      </c>
      <c r="E105" s="148" t="s">
        <v>75</v>
      </c>
      <c r="F105" s="149">
        <v>22708530</v>
      </c>
      <c r="G105" s="130"/>
    </row>
    <row r="106" spans="1:7" x14ac:dyDescent="0.25">
      <c r="A106" s="148" t="s">
        <v>104</v>
      </c>
      <c r="B106" s="148">
        <v>2021</v>
      </c>
      <c r="C106" s="148" t="s">
        <v>372</v>
      </c>
      <c r="D106" s="148" t="s">
        <v>8</v>
      </c>
      <c r="E106" s="148" t="s">
        <v>52</v>
      </c>
      <c r="F106" s="149">
        <v>80500000</v>
      </c>
    </row>
    <row r="107" spans="1:7" s="19" customFormat="1" x14ac:dyDescent="0.25">
      <c r="A107" s="21"/>
      <c r="B107" s="21"/>
      <c r="C107" s="21"/>
      <c r="D107" s="21"/>
      <c r="E107" s="21"/>
      <c r="F107" s="22"/>
      <c r="G107" s="130">
        <f>SUM(F94:F107)</f>
        <v>315747372</v>
      </c>
    </row>
    <row r="108" spans="1:7" x14ac:dyDescent="0.25">
      <c r="A108" s="132" t="s">
        <v>119</v>
      </c>
      <c r="B108" s="132">
        <v>2011</v>
      </c>
      <c r="C108" s="132" t="s">
        <v>120</v>
      </c>
      <c r="D108" s="132" t="s">
        <v>121</v>
      </c>
      <c r="E108" s="132" t="s">
        <v>58</v>
      </c>
      <c r="F108" s="133">
        <v>13631733</v>
      </c>
      <c r="G108" s="132"/>
    </row>
    <row r="109" spans="1:7" x14ac:dyDescent="0.25">
      <c r="A109" t="s">
        <v>119</v>
      </c>
      <c r="B109">
        <v>2013</v>
      </c>
      <c r="C109" t="s">
        <v>122</v>
      </c>
      <c r="D109" t="s">
        <v>121</v>
      </c>
      <c r="E109" t="s">
        <v>9</v>
      </c>
      <c r="F109" s="1">
        <v>26938797</v>
      </c>
    </row>
    <row r="110" spans="1:7" x14ac:dyDescent="0.25">
      <c r="A110" t="s">
        <v>119</v>
      </c>
      <c r="B110">
        <v>2014</v>
      </c>
      <c r="C110" t="s">
        <v>123</v>
      </c>
      <c r="D110" t="s">
        <v>121</v>
      </c>
      <c r="E110" t="s">
        <v>9</v>
      </c>
      <c r="F110" s="1">
        <v>25698255</v>
      </c>
    </row>
    <row r="111" spans="1:7" x14ac:dyDescent="0.25">
      <c r="A111" t="s">
        <v>119</v>
      </c>
      <c r="B111">
        <v>2012</v>
      </c>
      <c r="C111" t="s">
        <v>124</v>
      </c>
      <c r="D111" t="s">
        <v>19</v>
      </c>
      <c r="E111" t="s">
        <v>125</v>
      </c>
      <c r="F111" s="1">
        <v>6985000</v>
      </c>
    </row>
    <row r="112" spans="1:7" x14ac:dyDescent="0.25">
      <c r="A112" s="6" t="s">
        <v>119</v>
      </c>
      <c r="B112" s="6">
        <v>2009</v>
      </c>
      <c r="C112" s="6" t="s">
        <v>126</v>
      </c>
      <c r="D112" s="6" t="s">
        <v>19</v>
      </c>
      <c r="E112" s="6" t="s">
        <v>127</v>
      </c>
      <c r="F112" s="7">
        <v>11146300</v>
      </c>
      <c r="G112" s="6"/>
    </row>
    <row r="113" spans="1:7" x14ac:dyDescent="0.25">
      <c r="A113" s="6" t="s">
        <v>119</v>
      </c>
      <c r="B113" s="6">
        <v>2010</v>
      </c>
      <c r="C113" s="6" t="s">
        <v>128</v>
      </c>
      <c r="D113" s="6" t="s">
        <v>44</v>
      </c>
      <c r="E113" s="6" t="s">
        <v>49</v>
      </c>
      <c r="F113" s="7">
        <v>44642328</v>
      </c>
    </row>
    <row r="114" spans="1:7" x14ac:dyDescent="0.25">
      <c r="A114" s="148" t="s">
        <v>119</v>
      </c>
      <c r="B114" s="148">
        <v>2017</v>
      </c>
      <c r="C114" s="148" t="s">
        <v>397</v>
      </c>
      <c r="D114" s="148" t="s">
        <v>8</v>
      </c>
      <c r="E114" s="148" t="s">
        <v>49</v>
      </c>
      <c r="F114" s="149">
        <v>24280680</v>
      </c>
    </row>
    <row r="115" spans="1:7" x14ac:dyDescent="0.25">
      <c r="A115" s="148" t="s">
        <v>119</v>
      </c>
      <c r="B115" s="148">
        <v>2019</v>
      </c>
      <c r="C115" s="148" t="s">
        <v>398</v>
      </c>
      <c r="D115" s="148" t="s">
        <v>8</v>
      </c>
      <c r="E115" s="148" t="s">
        <v>58</v>
      </c>
      <c r="F115" s="149">
        <v>19311522</v>
      </c>
    </row>
    <row r="116" spans="1:7" x14ac:dyDescent="0.25">
      <c r="A116" s="148" t="s">
        <v>119</v>
      </c>
      <c r="B116" s="148">
        <v>2020</v>
      </c>
      <c r="C116" s="148" t="s">
        <v>399</v>
      </c>
      <c r="D116" s="148" t="s">
        <v>8</v>
      </c>
      <c r="E116" s="148" t="s">
        <v>11</v>
      </c>
      <c r="F116" s="149">
        <v>23201260</v>
      </c>
    </row>
    <row r="117" spans="1:7" x14ac:dyDescent="0.25">
      <c r="A117" s="148" t="s">
        <v>119</v>
      </c>
      <c r="B117" s="148">
        <v>2020</v>
      </c>
      <c r="C117" s="148" t="s">
        <v>400</v>
      </c>
      <c r="D117" s="148" t="s">
        <v>8</v>
      </c>
      <c r="E117" s="148" t="s">
        <v>58</v>
      </c>
      <c r="F117" s="149">
        <v>17901615</v>
      </c>
    </row>
    <row r="118" spans="1:7" x14ac:dyDescent="0.25">
      <c r="A118" s="6"/>
      <c r="B118" s="6"/>
      <c r="C118" s="6"/>
      <c r="D118" s="6"/>
      <c r="E118" s="6"/>
      <c r="F118" s="7"/>
      <c r="G118" s="130">
        <f>SUM(F108:F118)</f>
        <v>213737490</v>
      </c>
    </row>
    <row r="119" spans="1:7" x14ac:dyDescent="0.25">
      <c r="A119" s="132" t="s">
        <v>129</v>
      </c>
      <c r="B119" s="132">
        <v>2008</v>
      </c>
      <c r="C119" s="132" t="s">
        <v>130</v>
      </c>
      <c r="D119" s="132" t="s">
        <v>8</v>
      </c>
      <c r="E119" s="132" t="s">
        <v>136</v>
      </c>
      <c r="F119" s="133">
        <v>5424879</v>
      </c>
      <c r="G119" s="132"/>
    </row>
    <row r="120" spans="1:7" x14ac:dyDescent="0.25">
      <c r="A120" t="s">
        <v>129</v>
      </c>
      <c r="B120">
        <v>2008</v>
      </c>
      <c r="C120" t="s">
        <v>131</v>
      </c>
      <c r="D120" t="s">
        <v>8</v>
      </c>
      <c r="E120" t="s">
        <v>136</v>
      </c>
      <c r="F120" s="1">
        <v>6059233</v>
      </c>
    </row>
    <row r="121" spans="1:7" x14ac:dyDescent="0.25">
      <c r="A121" t="s">
        <v>129</v>
      </c>
      <c r="B121">
        <v>2009</v>
      </c>
      <c r="C121" t="s">
        <v>139</v>
      </c>
      <c r="D121" t="s">
        <v>8</v>
      </c>
      <c r="E121" t="s">
        <v>9</v>
      </c>
      <c r="F121" s="1">
        <v>8570989</v>
      </c>
    </row>
    <row r="122" spans="1:7" x14ac:dyDescent="0.25">
      <c r="A122" t="s">
        <v>129</v>
      </c>
      <c r="B122">
        <v>2009</v>
      </c>
      <c r="C122" t="s">
        <v>132</v>
      </c>
      <c r="D122" t="s">
        <v>8</v>
      </c>
      <c r="E122" t="s">
        <v>9</v>
      </c>
      <c r="F122" s="1">
        <v>5629170</v>
      </c>
    </row>
    <row r="123" spans="1:7" x14ac:dyDescent="0.25">
      <c r="A123" t="s">
        <v>129</v>
      </c>
      <c r="B123">
        <v>2010</v>
      </c>
      <c r="C123" t="s">
        <v>133</v>
      </c>
      <c r="D123" t="s">
        <v>8</v>
      </c>
      <c r="E123" t="s">
        <v>134</v>
      </c>
      <c r="F123" s="1">
        <v>13352272</v>
      </c>
    </row>
    <row r="124" spans="1:7" x14ac:dyDescent="0.25">
      <c r="A124" t="s">
        <v>129</v>
      </c>
      <c r="B124">
        <v>2010</v>
      </c>
      <c r="C124" t="s">
        <v>135</v>
      </c>
      <c r="D124" t="s">
        <v>8</v>
      </c>
      <c r="E124" t="s">
        <v>9</v>
      </c>
      <c r="F124" s="1">
        <v>8085128</v>
      </c>
    </row>
    <row r="125" spans="1:7" x14ac:dyDescent="0.25">
      <c r="A125" t="s">
        <v>129</v>
      </c>
      <c r="B125">
        <v>2010</v>
      </c>
      <c r="C125" t="s">
        <v>137</v>
      </c>
      <c r="D125" t="s">
        <v>8</v>
      </c>
      <c r="E125" t="s">
        <v>136</v>
      </c>
      <c r="F125" s="1">
        <v>5822481</v>
      </c>
    </row>
    <row r="126" spans="1:7" x14ac:dyDescent="0.25">
      <c r="A126" t="s">
        <v>129</v>
      </c>
      <c r="B126">
        <v>2010</v>
      </c>
      <c r="C126" t="s">
        <v>138</v>
      </c>
      <c r="D126" t="s">
        <v>8</v>
      </c>
      <c r="E126" t="s">
        <v>9</v>
      </c>
      <c r="F126" s="1">
        <v>6208697</v>
      </c>
    </row>
    <row r="127" spans="1:7" x14ac:dyDescent="0.25">
      <c r="A127" t="s">
        <v>129</v>
      </c>
      <c r="B127">
        <v>2010</v>
      </c>
      <c r="C127" t="s">
        <v>140</v>
      </c>
      <c r="D127" t="s">
        <v>8</v>
      </c>
      <c r="E127" t="s">
        <v>141</v>
      </c>
      <c r="F127" s="1">
        <v>19198486</v>
      </c>
    </row>
    <row r="128" spans="1:7" x14ac:dyDescent="0.25">
      <c r="A128" t="s">
        <v>129</v>
      </c>
      <c r="B128">
        <v>2011</v>
      </c>
      <c r="C128" t="s">
        <v>142</v>
      </c>
      <c r="D128" t="s">
        <v>8</v>
      </c>
      <c r="E128" t="s">
        <v>143</v>
      </c>
      <c r="F128" s="1">
        <v>42436184</v>
      </c>
    </row>
    <row r="129" spans="1:6" x14ac:dyDescent="0.25">
      <c r="A129" t="s">
        <v>129</v>
      </c>
      <c r="B129">
        <v>2011</v>
      </c>
      <c r="C129" t="s">
        <v>144</v>
      </c>
      <c r="D129" t="s">
        <v>8</v>
      </c>
      <c r="E129" t="s">
        <v>61</v>
      </c>
      <c r="F129" s="1">
        <v>7543056</v>
      </c>
    </row>
    <row r="130" spans="1:6" x14ac:dyDescent="0.25">
      <c r="A130" t="s">
        <v>129</v>
      </c>
      <c r="B130">
        <v>2012</v>
      </c>
      <c r="C130" t="s">
        <v>145</v>
      </c>
      <c r="D130" t="s">
        <v>8</v>
      </c>
      <c r="E130" t="s">
        <v>146</v>
      </c>
      <c r="F130" s="1">
        <v>9134220</v>
      </c>
    </row>
    <row r="131" spans="1:6" x14ac:dyDescent="0.25">
      <c r="A131" t="s">
        <v>129</v>
      </c>
      <c r="B131">
        <v>2012</v>
      </c>
      <c r="C131" t="s">
        <v>147</v>
      </c>
      <c r="D131" t="s">
        <v>8</v>
      </c>
      <c r="E131" t="s">
        <v>146</v>
      </c>
      <c r="F131" s="1">
        <v>11307704</v>
      </c>
    </row>
    <row r="132" spans="1:6" x14ac:dyDescent="0.25">
      <c r="A132" t="s">
        <v>129</v>
      </c>
      <c r="B132">
        <v>2013</v>
      </c>
      <c r="C132" t="s">
        <v>148</v>
      </c>
      <c r="D132" t="s">
        <v>8</v>
      </c>
      <c r="E132" t="s">
        <v>49</v>
      </c>
      <c r="F132" s="1">
        <v>17418193</v>
      </c>
    </row>
    <row r="133" spans="1:6" x14ac:dyDescent="0.25">
      <c r="A133" t="s">
        <v>129</v>
      </c>
      <c r="B133">
        <v>2014</v>
      </c>
      <c r="C133" t="s">
        <v>149</v>
      </c>
      <c r="D133" t="s">
        <v>8</v>
      </c>
      <c r="E133" t="s">
        <v>150</v>
      </c>
      <c r="F133" s="1">
        <v>7940472</v>
      </c>
    </row>
    <row r="134" spans="1:6" x14ac:dyDescent="0.25">
      <c r="A134" t="s">
        <v>129</v>
      </c>
      <c r="B134">
        <v>2014</v>
      </c>
      <c r="C134" t="s">
        <v>151</v>
      </c>
      <c r="D134" t="s">
        <v>8</v>
      </c>
      <c r="E134" t="s">
        <v>11</v>
      </c>
      <c r="F134" s="1">
        <v>7995068</v>
      </c>
    </row>
    <row r="135" spans="1:6" x14ac:dyDescent="0.25">
      <c r="A135" t="s">
        <v>129</v>
      </c>
      <c r="B135">
        <v>2014</v>
      </c>
      <c r="C135" t="s">
        <v>152</v>
      </c>
      <c r="D135" t="s">
        <v>8</v>
      </c>
      <c r="E135" t="s">
        <v>11</v>
      </c>
      <c r="F135" s="1">
        <v>7151160</v>
      </c>
    </row>
    <row r="136" spans="1:6" x14ac:dyDescent="0.25">
      <c r="A136" t="s">
        <v>129</v>
      </c>
      <c r="B136">
        <v>2014</v>
      </c>
      <c r="C136" t="s">
        <v>153</v>
      </c>
      <c r="D136" t="s">
        <v>8</v>
      </c>
      <c r="E136" t="s">
        <v>11</v>
      </c>
      <c r="F136" s="1">
        <v>12565643</v>
      </c>
    </row>
    <row r="137" spans="1:6" x14ac:dyDescent="0.25">
      <c r="A137" t="s">
        <v>129</v>
      </c>
      <c r="B137">
        <v>2014</v>
      </c>
      <c r="C137" t="s">
        <v>154</v>
      </c>
      <c r="D137" t="s">
        <v>8</v>
      </c>
      <c r="E137" t="s">
        <v>49</v>
      </c>
      <c r="F137" s="1">
        <v>20687149</v>
      </c>
    </row>
    <row r="138" spans="1:6" x14ac:dyDescent="0.25">
      <c r="A138" t="s">
        <v>129</v>
      </c>
      <c r="B138">
        <v>2012</v>
      </c>
      <c r="C138" t="s">
        <v>155</v>
      </c>
      <c r="D138" t="s">
        <v>8</v>
      </c>
      <c r="E138" t="s">
        <v>143</v>
      </c>
      <c r="F138" s="1">
        <v>5238422</v>
      </c>
    </row>
    <row r="139" spans="1:6" x14ac:dyDescent="0.25">
      <c r="A139" t="s">
        <v>129</v>
      </c>
      <c r="B139">
        <v>2012</v>
      </c>
      <c r="C139" t="s">
        <v>156</v>
      </c>
      <c r="D139" t="s">
        <v>8</v>
      </c>
      <c r="E139" t="s">
        <v>49</v>
      </c>
      <c r="F139" s="1">
        <v>8457224</v>
      </c>
    </row>
    <row r="140" spans="1:6" x14ac:dyDescent="0.25">
      <c r="A140" t="s">
        <v>129</v>
      </c>
      <c r="B140">
        <v>2012</v>
      </c>
      <c r="C140" t="s">
        <v>157</v>
      </c>
      <c r="D140" t="s">
        <v>8</v>
      </c>
      <c r="E140" t="s">
        <v>49</v>
      </c>
      <c r="F140" s="1">
        <v>11826727</v>
      </c>
    </row>
    <row r="141" spans="1:6" x14ac:dyDescent="0.25">
      <c r="A141" t="s">
        <v>129</v>
      </c>
      <c r="B141">
        <v>2013</v>
      </c>
      <c r="C141" t="s">
        <v>158</v>
      </c>
      <c r="D141" t="s">
        <v>8</v>
      </c>
      <c r="E141" t="s">
        <v>134</v>
      </c>
      <c r="F141" s="1">
        <v>22774649</v>
      </c>
    </row>
    <row r="142" spans="1:6" x14ac:dyDescent="0.25">
      <c r="A142" t="s">
        <v>129</v>
      </c>
      <c r="B142">
        <v>2008</v>
      </c>
      <c r="C142" t="s">
        <v>159</v>
      </c>
      <c r="D142" t="s">
        <v>8</v>
      </c>
      <c r="E142" t="s">
        <v>160</v>
      </c>
      <c r="F142" s="1">
        <v>6958920</v>
      </c>
    </row>
    <row r="143" spans="1:6" x14ac:dyDescent="0.25">
      <c r="A143" t="s">
        <v>129</v>
      </c>
      <c r="B143">
        <v>2008</v>
      </c>
      <c r="C143" t="s">
        <v>161</v>
      </c>
      <c r="D143" t="s">
        <v>8</v>
      </c>
      <c r="E143" t="s">
        <v>134</v>
      </c>
      <c r="F143" s="1">
        <v>6387770</v>
      </c>
    </row>
    <row r="144" spans="1:6" x14ac:dyDescent="0.25">
      <c r="A144" t="s">
        <v>129</v>
      </c>
      <c r="B144">
        <v>2008</v>
      </c>
      <c r="C144" t="s">
        <v>162</v>
      </c>
      <c r="D144" t="s">
        <v>8</v>
      </c>
      <c r="E144" t="s">
        <v>49</v>
      </c>
      <c r="F144" s="1">
        <v>25897000</v>
      </c>
    </row>
    <row r="145" spans="1:6" x14ac:dyDescent="0.25">
      <c r="A145" t="s">
        <v>129</v>
      </c>
      <c r="B145">
        <v>2008</v>
      </c>
      <c r="C145" t="s">
        <v>163</v>
      </c>
      <c r="D145" t="s">
        <v>8</v>
      </c>
      <c r="E145" t="s">
        <v>164</v>
      </c>
      <c r="F145" s="1">
        <v>7542100</v>
      </c>
    </row>
    <row r="146" spans="1:6" x14ac:dyDescent="0.25">
      <c r="A146" t="s">
        <v>129</v>
      </c>
      <c r="B146">
        <v>2008</v>
      </c>
      <c r="C146" t="s">
        <v>165</v>
      </c>
      <c r="D146" t="s">
        <v>8</v>
      </c>
      <c r="E146" t="s">
        <v>166</v>
      </c>
      <c r="F146" s="1">
        <v>5775000</v>
      </c>
    </row>
    <row r="147" spans="1:6" x14ac:dyDescent="0.25">
      <c r="A147" t="s">
        <v>129</v>
      </c>
      <c r="B147">
        <v>2008</v>
      </c>
      <c r="C147" t="s">
        <v>176</v>
      </c>
      <c r="D147" t="s">
        <v>8</v>
      </c>
      <c r="E147" t="s">
        <v>9</v>
      </c>
      <c r="F147" s="1">
        <v>5879274</v>
      </c>
    </row>
    <row r="148" spans="1:6" x14ac:dyDescent="0.25">
      <c r="A148" t="s">
        <v>129</v>
      </c>
      <c r="B148">
        <v>2008</v>
      </c>
      <c r="C148" t="s">
        <v>167</v>
      </c>
      <c r="D148" t="s">
        <v>8</v>
      </c>
      <c r="E148" t="s">
        <v>9</v>
      </c>
      <c r="F148" s="1">
        <v>6568767</v>
      </c>
    </row>
    <row r="149" spans="1:6" x14ac:dyDescent="0.25">
      <c r="A149" t="s">
        <v>129</v>
      </c>
      <c r="B149">
        <v>2008</v>
      </c>
      <c r="C149" t="s">
        <v>168</v>
      </c>
      <c r="D149" t="s">
        <v>8</v>
      </c>
      <c r="E149" t="s">
        <v>136</v>
      </c>
      <c r="F149" s="1">
        <v>8173387</v>
      </c>
    </row>
    <row r="150" spans="1:6" x14ac:dyDescent="0.25">
      <c r="A150" t="s">
        <v>129</v>
      </c>
      <c r="B150">
        <v>2008</v>
      </c>
      <c r="C150" t="s">
        <v>169</v>
      </c>
      <c r="D150" t="s">
        <v>8</v>
      </c>
      <c r="E150" t="s">
        <v>150</v>
      </c>
      <c r="F150" s="1">
        <v>6321025</v>
      </c>
    </row>
    <row r="151" spans="1:6" x14ac:dyDescent="0.25">
      <c r="A151" t="s">
        <v>129</v>
      </c>
      <c r="B151">
        <v>2009</v>
      </c>
      <c r="C151" t="s">
        <v>170</v>
      </c>
      <c r="D151" t="s">
        <v>8</v>
      </c>
      <c r="E151" t="s">
        <v>171</v>
      </c>
      <c r="F151" s="1">
        <v>10833637</v>
      </c>
    </row>
    <row r="152" spans="1:6" x14ac:dyDescent="0.25">
      <c r="A152" t="s">
        <v>129</v>
      </c>
      <c r="B152">
        <v>2009</v>
      </c>
      <c r="C152" t="s">
        <v>172</v>
      </c>
      <c r="D152" t="s">
        <v>8</v>
      </c>
      <c r="E152" t="s">
        <v>173</v>
      </c>
      <c r="F152" s="1">
        <v>10413942</v>
      </c>
    </row>
    <row r="153" spans="1:6" x14ac:dyDescent="0.25">
      <c r="A153" t="s">
        <v>129</v>
      </c>
      <c r="B153">
        <v>2009</v>
      </c>
      <c r="C153" t="s">
        <v>174</v>
      </c>
      <c r="D153" t="s">
        <v>8</v>
      </c>
      <c r="E153" t="s">
        <v>9</v>
      </c>
      <c r="F153" s="1">
        <v>13624746</v>
      </c>
    </row>
    <row r="154" spans="1:6" x14ac:dyDescent="0.25">
      <c r="A154" t="s">
        <v>129</v>
      </c>
      <c r="B154">
        <v>2009</v>
      </c>
      <c r="C154" t="s">
        <v>175</v>
      </c>
      <c r="D154" t="s">
        <v>8</v>
      </c>
      <c r="E154" t="s">
        <v>9</v>
      </c>
      <c r="F154" s="1">
        <v>9180208</v>
      </c>
    </row>
    <row r="155" spans="1:6" x14ac:dyDescent="0.25">
      <c r="A155" t="s">
        <v>129</v>
      </c>
      <c r="B155">
        <v>2010</v>
      </c>
      <c r="C155" t="s">
        <v>177</v>
      </c>
      <c r="D155" t="s">
        <v>19</v>
      </c>
      <c r="E155" t="s">
        <v>178</v>
      </c>
      <c r="F155" s="1">
        <v>6962228</v>
      </c>
    </row>
    <row r="156" spans="1:6" x14ac:dyDescent="0.25">
      <c r="A156" t="s">
        <v>129</v>
      </c>
      <c r="B156">
        <v>2009</v>
      </c>
      <c r="C156" t="s">
        <v>179</v>
      </c>
      <c r="D156" t="s">
        <v>33</v>
      </c>
      <c r="E156" t="s">
        <v>9</v>
      </c>
      <c r="F156" s="1">
        <v>12511436</v>
      </c>
    </row>
    <row r="157" spans="1:6" x14ac:dyDescent="0.25">
      <c r="A157" t="s">
        <v>129</v>
      </c>
      <c r="B157">
        <v>2009</v>
      </c>
      <c r="C157" t="s">
        <v>180</v>
      </c>
      <c r="D157" t="s">
        <v>33</v>
      </c>
      <c r="E157" t="s">
        <v>9</v>
      </c>
      <c r="F157" s="1">
        <v>10759429</v>
      </c>
    </row>
    <row r="158" spans="1:6" x14ac:dyDescent="0.25">
      <c r="A158" t="s">
        <v>129</v>
      </c>
      <c r="B158">
        <v>2010</v>
      </c>
      <c r="C158" t="s">
        <v>181</v>
      </c>
      <c r="D158" t="s">
        <v>33</v>
      </c>
      <c r="E158" t="s">
        <v>9</v>
      </c>
      <c r="F158" s="1">
        <v>26667697</v>
      </c>
    </row>
    <row r="159" spans="1:6" x14ac:dyDescent="0.25">
      <c r="A159" t="s">
        <v>129</v>
      </c>
      <c r="B159">
        <v>2011</v>
      </c>
      <c r="C159" t="s">
        <v>182</v>
      </c>
      <c r="D159" t="s">
        <v>33</v>
      </c>
      <c r="E159" t="s">
        <v>9</v>
      </c>
      <c r="F159" s="1">
        <v>19078457</v>
      </c>
    </row>
    <row r="160" spans="1:6" x14ac:dyDescent="0.25">
      <c r="A160" t="s">
        <v>129</v>
      </c>
      <c r="B160">
        <v>2011</v>
      </c>
      <c r="C160" t="s">
        <v>183</v>
      </c>
      <c r="D160" t="s">
        <v>184</v>
      </c>
      <c r="E160" t="s">
        <v>185</v>
      </c>
      <c r="F160" s="1">
        <v>8080574</v>
      </c>
    </row>
    <row r="161" spans="1:7" x14ac:dyDescent="0.25">
      <c r="A161" s="127" t="s">
        <v>129</v>
      </c>
      <c r="B161" s="127">
        <v>2016</v>
      </c>
      <c r="C161" s="127" t="s">
        <v>186</v>
      </c>
      <c r="D161" s="127" t="s">
        <v>8</v>
      </c>
      <c r="E161" s="127" t="s">
        <v>143</v>
      </c>
      <c r="F161" s="117">
        <v>70304737</v>
      </c>
    </row>
    <row r="162" spans="1:7" x14ac:dyDescent="0.25">
      <c r="A162" s="127" t="s">
        <v>129</v>
      </c>
      <c r="B162" s="127">
        <v>2017</v>
      </c>
      <c r="C162" s="127" t="s">
        <v>187</v>
      </c>
      <c r="D162" s="127" t="s">
        <v>8</v>
      </c>
      <c r="E162" s="127" t="s">
        <v>146</v>
      </c>
      <c r="F162" s="117">
        <v>10394947</v>
      </c>
    </row>
    <row r="163" spans="1:7" x14ac:dyDescent="0.25">
      <c r="A163" s="146" t="s">
        <v>129</v>
      </c>
      <c r="B163" s="146">
        <v>2017</v>
      </c>
      <c r="C163" s="146" t="s">
        <v>188</v>
      </c>
      <c r="D163" s="146" t="s">
        <v>8</v>
      </c>
      <c r="E163" s="146" t="s">
        <v>11</v>
      </c>
      <c r="F163" s="147">
        <v>43051269</v>
      </c>
    </row>
    <row r="164" spans="1:7" x14ac:dyDescent="0.25">
      <c r="A164" s="148" t="s">
        <v>129</v>
      </c>
      <c r="B164" s="148">
        <v>2017</v>
      </c>
      <c r="C164" s="148" t="s">
        <v>427</v>
      </c>
      <c r="D164" s="148" t="s">
        <v>8</v>
      </c>
      <c r="E164" s="148" t="s">
        <v>428</v>
      </c>
      <c r="F164" s="149">
        <v>6042602</v>
      </c>
    </row>
    <row r="165" spans="1:7" x14ac:dyDescent="0.25">
      <c r="A165" s="148" t="s">
        <v>129</v>
      </c>
      <c r="B165" s="148">
        <v>2017</v>
      </c>
      <c r="C165" s="148" t="s">
        <v>429</v>
      </c>
      <c r="D165" s="148" t="s">
        <v>33</v>
      </c>
      <c r="E165" s="148" t="s">
        <v>430</v>
      </c>
      <c r="F165" s="149">
        <v>6518658</v>
      </c>
    </row>
    <row r="166" spans="1:7" x14ac:dyDescent="0.25">
      <c r="A166" s="148" t="s">
        <v>129</v>
      </c>
      <c r="B166" s="148">
        <v>2017</v>
      </c>
      <c r="C166" s="148" t="s">
        <v>431</v>
      </c>
      <c r="D166" s="148" t="s">
        <v>8</v>
      </c>
      <c r="E166" s="148" t="s">
        <v>432</v>
      </c>
      <c r="F166" s="149">
        <v>7285505</v>
      </c>
    </row>
    <row r="167" spans="1:7" x14ac:dyDescent="0.25">
      <c r="A167" s="148" t="s">
        <v>129</v>
      </c>
      <c r="B167" s="148">
        <v>2018</v>
      </c>
      <c r="C167" s="148" t="s">
        <v>433</v>
      </c>
      <c r="D167" s="148" t="s">
        <v>8</v>
      </c>
      <c r="E167" s="148" t="s">
        <v>58</v>
      </c>
      <c r="F167" s="149">
        <v>10513253</v>
      </c>
    </row>
    <row r="168" spans="1:7" x14ac:dyDescent="0.25">
      <c r="A168" s="148" t="s">
        <v>129</v>
      </c>
      <c r="B168" s="148">
        <v>2018</v>
      </c>
      <c r="C168" s="148" t="s">
        <v>434</v>
      </c>
      <c r="D168" s="148" t="s">
        <v>8</v>
      </c>
      <c r="E168" s="148" t="s">
        <v>424</v>
      </c>
      <c r="F168" s="149">
        <v>19654061</v>
      </c>
    </row>
    <row r="169" spans="1:7" x14ac:dyDescent="0.25">
      <c r="A169" s="148" t="s">
        <v>129</v>
      </c>
      <c r="B169" s="148">
        <v>2019</v>
      </c>
      <c r="C169" s="148" t="s">
        <v>435</v>
      </c>
      <c r="D169" s="148" t="s">
        <v>19</v>
      </c>
      <c r="E169" s="148" t="s">
        <v>143</v>
      </c>
      <c r="F169" s="149">
        <v>11871111</v>
      </c>
    </row>
    <row r="170" spans="1:7" x14ac:dyDescent="0.25">
      <c r="A170" s="148" t="s">
        <v>129</v>
      </c>
      <c r="B170" s="148">
        <v>2019</v>
      </c>
      <c r="C170" s="148" t="s">
        <v>436</v>
      </c>
      <c r="D170" s="148" t="s">
        <v>19</v>
      </c>
      <c r="E170" s="148" t="s">
        <v>445</v>
      </c>
      <c r="F170" s="149">
        <v>5489874</v>
      </c>
    </row>
    <row r="171" spans="1:7" s="19" customFormat="1" x14ac:dyDescent="0.25">
      <c r="A171" s="21"/>
      <c r="B171" s="21"/>
      <c r="C171" s="21"/>
      <c r="D171" s="21"/>
      <c r="E171" s="21"/>
      <c r="F171" s="22"/>
      <c r="G171" s="130">
        <f>SUM(F119:F171)</f>
        <v>669568820</v>
      </c>
    </row>
    <row r="172" spans="1:7" x14ac:dyDescent="0.25">
      <c r="A172" s="166" t="s">
        <v>189</v>
      </c>
      <c r="B172" s="166">
        <v>2013</v>
      </c>
      <c r="C172" s="166" t="s">
        <v>190</v>
      </c>
      <c r="D172" s="166" t="s">
        <v>8</v>
      </c>
      <c r="E172" s="166" t="s">
        <v>9</v>
      </c>
      <c r="F172" s="167">
        <v>7760889</v>
      </c>
      <c r="G172" s="132"/>
    </row>
    <row r="173" spans="1:7" s="19" customFormat="1" x14ac:dyDescent="0.25">
      <c r="A173" s="148" t="s">
        <v>189</v>
      </c>
      <c r="B173" s="148">
        <v>2018</v>
      </c>
      <c r="C173" s="148" t="s">
        <v>384</v>
      </c>
      <c r="D173" s="148" t="s">
        <v>8</v>
      </c>
      <c r="E173" s="148" t="s">
        <v>75</v>
      </c>
      <c r="F173" s="149">
        <v>7336670</v>
      </c>
      <c r="G173" s="21"/>
    </row>
    <row r="174" spans="1:7" x14ac:dyDescent="0.25">
      <c r="A174" s="21"/>
      <c r="B174" s="21"/>
      <c r="C174" s="21"/>
      <c r="D174" s="21"/>
      <c r="E174" s="21"/>
      <c r="F174" s="22"/>
      <c r="G174" s="130">
        <f>SUM(F172:F174)</f>
        <v>15097559</v>
      </c>
    </row>
    <row r="175" spans="1:7" x14ac:dyDescent="0.25">
      <c r="A175" s="132" t="s">
        <v>191</v>
      </c>
      <c r="B175" s="132">
        <v>2008</v>
      </c>
      <c r="C175" s="132" t="s">
        <v>102</v>
      </c>
      <c r="D175" s="132" t="s">
        <v>8</v>
      </c>
      <c r="E175" s="132" t="s">
        <v>11</v>
      </c>
      <c r="F175" s="133">
        <v>16190706</v>
      </c>
      <c r="G175" s="132"/>
    </row>
    <row r="176" spans="1:7" x14ac:dyDescent="0.25">
      <c r="A176" t="s">
        <v>191</v>
      </c>
      <c r="B176">
        <v>2009</v>
      </c>
      <c r="C176" t="s">
        <v>192</v>
      </c>
      <c r="D176" t="s">
        <v>8</v>
      </c>
      <c r="E176" t="s">
        <v>143</v>
      </c>
      <c r="F176" s="1">
        <v>50388670</v>
      </c>
    </row>
    <row r="177" spans="1:6" x14ac:dyDescent="0.25">
      <c r="A177" t="s">
        <v>191</v>
      </c>
      <c r="B177">
        <v>2009</v>
      </c>
      <c r="C177" t="s">
        <v>193</v>
      </c>
      <c r="D177" t="s">
        <v>8</v>
      </c>
      <c r="E177" t="s">
        <v>52</v>
      </c>
      <c r="F177" s="1">
        <v>24134503</v>
      </c>
    </row>
    <row r="178" spans="1:6" x14ac:dyDescent="0.25">
      <c r="A178" t="s">
        <v>191</v>
      </c>
      <c r="B178">
        <v>2009</v>
      </c>
      <c r="C178" t="s">
        <v>194</v>
      </c>
      <c r="D178" t="s">
        <v>8</v>
      </c>
      <c r="E178" t="s">
        <v>11</v>
      </c>
      <c r="F178" s="1">
        <v>8360843</v>
      </c>
    </row>
    <row r="179" spans="1:6" x14ac:dyDescent="0.25">
      <c r="A179" t="s">
        <v>191</v>
      </c>
      <c r="B179">
        <v>2010</v>
      </c>
      <c r="C179" t="s">
        <v>195</v>
      </c>
      <c r="D179" t="s">
        <v>8</v>
      </c>
      <c r="E179" t="s">
        <v>196</v>
      </c>
      <c r="F179" s="1">
        <v>7052618</v>
      </c>
    </row>
    <row r="180" spans="1:6" x14ac:dyDescent="0.25">
      <c r="A180" t="s">
        <v>191</v>
      </c>
      <c r="B180">
        <v>2010</v>
      </c>
      <c r="C180" t="s">
        <v>197</v>
      </c>
      <c r="D180" t="s">
        <v>8</v>
      </c>
      <c r="E180" t="s">
        <v>75</v>
      </c>
      <c r="F180" s="1">
        <v>6648316</v>
      </c>
    </row>
    <row r="181" spans="1:6" x14ac:dyDescent="0.25">
      <c r="A181" t="s">
        <v>191</v>
      </c>
      <c r="B181">
        <v>2011</v>
      </c>
      <c r="C181" t="s">
        <v>198</v>
      </c>
      <c r="D181" t="s">
        <v>8</v>
      </c>
      <c r="E181" t="s">
        <v>178</v>
      </c>
      <c r="F181" s="1">
        <v>71990000</v>
      </c>
    </row>
    <row r="182" spans="1:6" x14ac:dyDescent="0.25">
      <c r="A182" t="s">
        <v>191</v>
      </c>
      <c r="B182">
        <v>2011</v>
      </c>
      <c r="C182" t="s">
        <v>199</v>
      </c>
      <c r="D182" t="s">
        <v>8</v>
      </c>
      <c r="E182" t="s">
        <v>52</v>
      </c>
      <c r="F182" s="1">
        <v>33376000</v>
      </c>
    </row>
    <row r="183" spans="1:6" x14ac:dyDescent="0.25">
      <c r="A183" t="s">
        <v>191</v>
      </c>
      <c r="B183">
        <v>2011</v>
      </c>
      <c r="C183" t="s">
        <v>200</v>
      </c>
      <c r="D183" t="s">
        <v>8</v>
      </c>
      <c r="E183" t="s">
        <v>75</v>
      </c>
      <c r="F183" s="1">
        <v>5246503</v>
      </c>
    </row>
    <row r="184" spans="1:6" x14ac:dyDescent="0.25">
      <c r="A184" t="s">
        <v>191</v>
      </c>
      <c r="B184">
        <v>2011</v>
      </c>
      <c r="C184" t="s">
        <v>201</v>
      </c>
      <c r="D184" t="s">
        <v>8</v>
      </c>
      <c r="E184" t="s">
        <v>9</v>
      </c>
      <c r="F184" s="1">
        <v>9500000</v>
      </c>
    </row>
    <row r="185" spans="1:6" x14ac:dyDescent="0.25">
      <c r="A185" t="s">
        <v>191</v>
      </c>
      <c r="B185">
        <v>2011</v>
      </c>
      <c r="C185" t="s">
        <v>202</v>
      </c>
      <c r="D185" t="s">
        <v>8</v>
      </c>
      <c r="E185" t="s">
        <v>146</v>
      </c>
      <c r="F185" s="1">
        <v>66358823</v>
      </c>
    </row>
    <row r="186" spans="1:6" x14ac:dyDescent="0.25">
      <c r="A186" t="s">
        <v>191</v>
      </c>
      <c r="B186">
        <v>2011</v>
      </c>
      <c r="C186" t="s">
        <v>203</v>
      </c>
      <c r="D186" t="s">
        <v>8</v>
      </c>
      <c r="E186" t="s">
        <v>52</v>
      </c>
      <c r="F186" s="1">
        <v>42084845</v>
      </c>
    </row>
    <row r="187" spans="1:6" x14ac:dyDescent="0.25">
      <c r="A187" t="s">
        <v>191</v>
      </c>
      <c r="B187">
        <v>2012</v>
      </c>
      <c r="C187" t="s">
        <v>204</v>
      </c>
      <c r="D187" t="s">
        <v>8</v>
      </c>
      <c r="E187" t="s">
        <v>143</v>
      </c>
      <c r="F187" s="1">
        <v>23879669</v>
      </c>
    </row>
    <row r="188" spans="1:6" x14ac:dyDescent="0.25">
      <c r="A188" t="s">
        <v>191</v>
      </c>
      <c r="B188">
        <v>2012</v>
      </c>
      <c r="C188" t="s">
        <v>205</v>
      </c>
      <c r="D188" t="s">
        <v>8</v>
      </c>
      <c r="E188" t="s">
        <v>11</v>
      </c>
      <c r="F188" s="1">
        <v>15382088</v>
      </c>
    </row>
    <row r="189" spans="1:6" x14ac:dyDescent="0.25">
      <c r="A189" t="s">
        <v>191</v>
      </c>
      <c r="B189">
        <v>2014</v>
      </c>
      <c r="C189" t="s">
        <v>206</v>
      </c>
      <c r="D189" t="s">
        <v>8</v>
      </c>
      <c r="E189" t="s">
        <v>143</v>
      </c>
      <c r="F189" s="1">
        <v>69704066</v>
      </c>
    </row>
    <row r="190" spans="1:6" x14ac:dyDescent="0.25">
      <c r="A190" t="s">
        <v>191</v>
      </c>
      <c r="B190">
        <v>2008</v>
      </c>
      <c r="C190" t="s">
        <v>207</v>
      </c>
      <c r="D190" t="s">
        <v>19</v>
      </c>
      <c r="E190" t="s">
        <v>208</v>
      </c>
      <c r="F190" s="1">
        <v>11559955</v>
      </c>
    </row>
    <row r="191" spans="1:6" x14ac:dyDescent="0.25">
      <c r="A191" t="s">
        <v>191</v>
      </c>
      <c r="B191">
        <v>2008</v>
      </c>
      <c r="C191" t="s">
        <v>209</v>
      </c>
      <c r="D191" t="s">
        <v>33</v>
      </c>
      <c r="E191" t="s">
        <v>136</v>
      </c>
      <c r="F191" s="1">
        <v>19548000</v>
      </c>
    </row>
    <row r="192" spans="1:6" x14ac:dyDescent="0.25">
      <c r="A192" t="s">
        <v>191</v>
      </c>
      <c r="B192">
        <v>2009</v>
      </c>
      <c r="C192" t="s">
        <v>210</v>
      </c>
      <c r="D192" t="s">
        <v>33</v>
      </c>
      <c r="E192" t="s">
        <v>143</v>
      </c>
      <c r="F192" s="1">
        <v>12558008</v>
      </c>
    </row>
    <row r="193" spans="1:7" x14ac:dyDescent="0.25">
      <c r="A193" t="s">
        <v>191</v>
      </c>
      <c r="B193">
        <v>2011</v>
      </c>
      <c r="C193" t="s">
        <v>211</v>
      </c>
      <c r="D193" t="s">
        <v>33</v>
      </c>
      <c r="E193" t="s">
        <v>141</v>
      </c>
      <c r="F193" s="1">
        <v>10780000</v>
      </c>
    </row>
    <row r="194" spans="1:7" x14ac:dyDescent="0.25">
      <c r="A194" t="s">
        <v>191</v>
      </c>
      <c r="B194">
        <v>2014</v>
      </c>
      <c r="C194" t="s">
        <v>212</v>
      </c>
      <c r="D194" t="s">
        <v>33</v>
      </c>
      <c r="E194" t="s">
        <v>9</v>
      </c>
      <c r="F194" s="1">
        <v>18000000</v>
      </c>
    </row>
    <row r="195" spans="1:7" x14ac:dyDescent="0.25">
      <c r="A195" t="s">
        <v>191</v>
      </c>
      <c r="B195">
        <v>2012</v>
      </c>
      <c r="C195" t="s">
        <v>213</v>
      </c>
      <c r="D195" t="s">
        <v>214</v>
      </c>
      <c r="E195" t="s">
        <v>215</v>
      </c>
      <c r="F195" s="1">
        <v>16508000</v>
      </c>
    </row>
    <row r="196" spans="1:7" x14ac:dyDescent="0.25">
      <c r="A196" t="s">
        <v>191</v>
      </c>
      <c r="B196">
        <v>2013</v>
      </c>
      <c r="C196" t="s">
        <v>216</v>
      </c>
      <c r="D196" t="s">
        <v>217</v>
      </c>
      <c r="E196" t="s">
        <v>218</v>
      </c>
      <c r="F196" s="1">
        <v>14000000</v>
      </c>
    </row>
    <row r="197" spans="1:7" x14ac:dyDescent="0.25">
      <c r="A197" t="s">
        <v>191</v>
      </c>
      <c r="B197">
        <v>2009</v>
      </c>
      <c r="C197" t="s">
        <v>219</v>
      </c>
      <c r="D197" t="s">
        <v>44</v>
      </c>
      <c r="E197" t="s">
        <v>220</v>
      </c>
      <c r="F197" s="1">
        <v>59000000</v>
      </c>
    </row>
    <row r="198" spans="1:7" x14ac:dyDescent="0.25">
      <c r="A198" t="s">
        <v>191</v>
      </c>
      <c r="B198">
        <v>2011</v>
      </c>
      <c r="C198" t="s">
        <v>221</v>
      </c>
      <c r="D198" t="s">
        <v>44</v>
      </c>
      <c r="E198" t="s">
        <v>220</v>
      </c>
      <c r="F198" s="1">
        <v>9600000</v>
      </c>
    </row>
    <row r="199" spans="1:7" x14ac:dyDescent="0.25">
      <c r="A199" s="127" t="s">
        <v>191</v>
      </c>
      <c r="B199" s="127">
        <v>2015</v>
      </c>
      <c r="C199" s="127" t="s">
        <v>222</v>
      </c>
      <c r="D199" s="127" t="s">
        <v>8</v>
      </c>
      <c r="E199" s="127" t="s">
        <v>9</v>
      </c>
      <c r="F199" s="117">
        <v>30600000</v>
      </c>
    </row>
    <row r="200" spans="1:7" x14ac:dyDescent="0.25">
      <c r="A200" s="127" t="s">
        <v>191</v>
      </c>
      <c r="B200" s="127">
        <v>2017</v>
      </c>
      <c r="C200" s="127" t="s">
        <v>223</v>
      </c>
      <c r="D200" s="127" t="s">
        <v>8</v>
      </c>
      <c r="E200" s="127" t="s">
        <v>75</v>
      </c>
      <c r="F200" s="117">
        <v>25605000</v>
      </c>
    </row>
    <row r="201" spans="1:7" x14ac:dyDescent="0.25">
      <c r="A201" s="127" t="s">
        <v>191</v>
      </c>
      <c r="B201" s="127">
        <v>2017</v>
      </c>
      <c r="C201" s="127" t="s">
        <v>224</v>
      </c>
      <c r="D201" s="127" t="s">
        <v>33</v>
      </c>
      <c r="E201" s="127" t="s">
        <v>11</v>
      </c>
      <c r="F201" s="117">
        <v>14329153</v>
      </c>
    </row>
    <row r="202" spans="1:7" x14ac:dyDescent="0.25">
      <c r="A202" s="127" t="s">
        <v>191</v>
      </c>
      <c r="B202" s="127">
        <v>2017</v>
      </c>
      <c r="C202" s="127" t="s">
        <v>225</v>
      </c>
      <c r="D202" s="127" t="s">
        <v>8</v>
      </c>
      <c r="E202" s="127" t="s">
        <v>75</v>
      </c>
      <c r="F202" s="117">
        <v>14144099</v>
      </c>
    </row>
    <row r="203" spans="1:7" x14ac:dyDescent="0.25">
      <c r="A203" s="146" t="s">
        <v>191</v>
      </c>
      <c r="B203" s="146">
        <v>2017</v>
      </c>
      <c r="C203" s="146" t="s">
        <v>226</v>
      </c>
      <c r="D203" s="146" t="s">
        <v>8</v>
      </c>
      <c r="E203" s="146" t="s">
        <v>9</v>
      </c>
      <c r="F203" s="147">
        <v>15968301</v>
      </c>
    </row>
    <row r="204" spans="1:7" s="21" customFormat="1" x14ac:dyDescent="0.25">
      <c r="F204" s="22"/>
      <c r="G204" s="130">
        <f>SUM(F175:F204)</f>
        <v>722498166</v>
      </c>
    </row>
    <row r="205" spans="1:7" x14ac:dyDescent="0.25">
      <c r="A205" s="166" t="s">
        <v>227</v>
      </c>
      <c r="B205" s="166">
        <v>2017</v>
      </c>
      <c r="C205" s="166" t="s">
        <v>385</v>
      </c>
      <c r="D205" s="166" t="s">
        <v>8</v>
      </c>
      <c r="E205" s="166" t="s">
        <v>58</v>
      </c>
      <c r="F205" s="167">
        <v>15394218</v>
      </c>
      <c r="G205" s="132"/>
    </row>
    <row r="206" spans="1:7" s="19" customFormat="1" x14ac:dyDescent="0.25">
      <c r="A206" s="148" t="s">
        <v>227</v>
      </c>
      <c r="B206" s="148">
        <v>2017</v>
      </c>
      <c r="C206" s="148" t="s">
        <v>391</v>
      </c>
      <c r="D206" s="148" t="s">
        <v>19</v>
      </c>
      <c r="E206" s="148" t="s">
        <v>392</v>
      </c>
      <c r="F206" s="149">
        <v>14713173</v>
      </c>
      <c r="G206" s="21"/>
    </row>
    <row r="207" spans="1:7" x14ac:dyDescent="0.25">
      <c r="A207" s="127" t="s">
        <v>227</v>
      </c>
      <c r="B207" s="127">
        <v>2017</v>
      </c>
      <c r="C207" s="127" t="s">
        <v>228</v>
      </c>
      <c r="D207" s="127" t="s">
        <v>8</v>
      </c>
      <c r="E207" s="127" t="s">
        <v>229</v>
      </c>
      <c r="F207" s="117">
        <v>13150000</v>
      </c>
    </row>
    <row r="208" spans="1:7" x14ac:dyDescent="0.25">
      <c r="A208" s="127" t="s">
        <v>227</v>
      </c>
      <c r="B208" s="127">
        <v>2017</v>
      </c>
      <c r="C208" s="127" t="s">
        <v>230</v>
      </c>
      <c r="D208" s="127" t="s">
        <v>8</v>
      </c>
      <c r="E208" s="127" t="s">
        <v>49</v>
      </c>
      <c r="F208" s="117">
        <v>26416758</v>
      </c>
    </row>
    <row r="209" spans="1:6" x14ac:dyDescent="0.25">
      <c r="A209" s="127" t="s">
        <v>227</v>
      </c>
      <c r="B209" s="127">
        <v>2017</v>
      </c>
      <c r="C209" s="127" t="s">
        <v>231</v>
      </c>
      <c r="D209" s="127" t="s">
        <v>8</v>
      </c>
      <c r="E209" s="127" t="s">
        <v>58</v>
      </c>
      <c r="F209" s="117">
        <v>20613000</v>
      </c>
    </row>
    <row r="210" spans="1:6" x14ac:dyDescent="0.25">
      <c r="A210" t="s">
        <v>227</v>
      </c>
      <c r="B210">
        <v>2009</v>
      </c>
      <c r="C210" t="s">
        <v>232</v>
      </c>
      <c r="D210" t="s">
        <v>8</v>
      </c>
      <c r="E210" t="s">
        <v>143</v>
      </c>
      <c r="F210" s="1">
        <v>24140648</v>
      </c>
    </row>
    <row r="211" spans="1:6" x14ac:dyDescent="0.25">
      <c r="A211" t="s">
        <v>227</v>
      </c>
      <c r="B211">
        <v>2010</v>
      </c>
      <c r="C211" t="s">
        <v>233</v>
      </c>
      <c r="D211" t="s">
        <v>8</v>
      </c>
      <c r="E211" t="s">
        <v>146</v>
      </c>
      <c r="F211" s="1">
        <v>22719587</v>
      </c>
    </row>
    <row r="212" spans="1:6" x14ac:dyDescent="0.25">
      <c r="A212" t="s">
        <v>227</v>
      </c>
      <c r="B212">
        <v>2010</v>
      </c>
      <c r="C212" t="s">
        <v>234</v>
      </c>
      <c r="D212" t="s">
        <v>8</v>
      </c>
      <c r="E212" t="s">
        <v>34</v>
      </c>
      <c r="F212" s="1">
        <v>18237546</v>
      </c>
    </row>
    <row r="213" spans="1:6" x14ac:dyDescent="0.25">
      <c r="A213" t="s">
        <v>227</v>
      </c>
      <c r="B213">
        <v>2011</v>
      </c>
      <c r="C213" t="s">
        <v>235</v>
      </c>
      <c r="D213" t="s">
        <v>8</v>
      </c>
      <c r="E213" t="s">
        <v>11</v>
      </c>
      <c r="F213" s="1">
        <v>27386900</v>
      </c>
    </row>
    <row r="214" spans="1:6" x14ac:dyDescent="0.25">
      <c r="A214" t="s">
        <v>227</v>
      </c>
      <c r="B214">
        <v>2014</v>
      </c>
      <c r="C214" t="s">
        <v>236</v>
      </c>
      <c r="D214" t="s">
        <v>8</v>
      </c>
      <c r="E214" t="s">
        <v>11</v>
      </c>
      <c r="F214" s="1">
        <v>18887949</v>
      </c>
    </row>
    <row r="215" spans="1:6" x14ac:dyDescent="0.25">
      <c r="A215" t="s">
        <v>227</v>
      </c>
      <c r="B215">
        <v>2013</v>
      </c>
      <c r="C215" t="s">
        <v>237</v>
      </c>
      <c r="D215" t="s">
        <v>19</v>
      </c>
      <c r="E215" t="s">
        <v>125</v>
      </c>
      <c r="F215" s="1">
        <v>11674470</v>
      </c>
    </row>
    <row r="216" spans="1:6" x14ac:dyDescent="0.25">
      <c r="A216" t="s">
        <v>227</v>
      </c>
      <c r="B216">
        <v>2014</v>
      </c>
      <c r="C216" t="s">
        <v>238</v>
      </c>
      <c r="D216" t="s">
        <v>19</v>
      </c>
      <c r="E216" t="s">
        <v>239</v>
      </c>
      <c r="F216" s="1">
        <v>11109600</v>
      </c>
    </row>
    <row r="217" spans="1:6" x14ac:dyDescent="0.25">
      <c r="A217" t="s">
        <v>227</v>
      </c>
      <c r="B217">
        <v>2014</v>
      </c>
      <c r="C217" t="s">
        <v>240</v>
      </c>
      <c r="D217" t="s">
        <v>19</v>
      </c>
      <c r="E217" t="s">
        <v>75</v>
      </c>
      <c r="F217" s="1">
        <v>24698825</v>
      </c>
    </row>
    <row r="218" spans="1:6" x14ac:dyDescent="0.25">
      <c r="A218" s="126" t="s">
        <v>227</v>
      </c>
      <c r="B218" s="126">
        <v>2018</v>
      </c>
      <c r="C218" s="126" t="s">
        <v>386</v>
      </c>
      <c r="D218" s="126" t="s">
        <v>19</v>
      </c>
      <c r="E218" s="126" t="s">
        <v>239</v>
      </c>
      <c r="F218" s="118">
        <v>18702000</v>
      </c>
    </row>
    <row r="219" spans="1:6" x14ac:dyDescent="0.25">
      <c r="A219" s="126" t="s">
        <v>227</v>
      </c>
      <c r="B219" s="126">
        <v>2018</v>
      </c>
      <c r="C219" s="126" t="s">
        <v>387</v>
      </c>
      <c r="D219" s="126" t="s">
        <v>19</v>
      </c>
      <c r="E219" s="126" t="s">
        <v>388</v>
      </c>
      <c r="F219" s="118">
        <v>12136212</v>
      </c>
    </row>
    <row r="220" spans="1:6" x14ac:dyDescent="0.25">
      <c r="A220" t="s">
        <v>227</v>
      </c>
      <c r="B220">
        <v>2009</v>
      </c>
      <c r="C220" t="s">
        <v>241</v>
      </c>
      <c r="D220" t="s">
        <v>8</v>
      </c>
      <c r="E220" t="s">
        <v>69</v>
      </c>
      <c r="F220" s="1">
        <v>15439851</v>
      </c>
    </row>
    <row r="221" spans="1:6" x14ac:dyDescent="0.25">
      <c r="A221" t="s">
        <v>227</v>
      </c>
      <c r="B221">
        <v>2009</v>
      </c>
      <c r="C221" t="s">
        <v>242</v>
      </c>
      <c r="D221" t="s">
        <v>8</v>
      </c>
      <c r="E221" t="s">
        <v>11</v>
      </c>
      <c r="F221" s="1">
        <v>19512264</v>
      </c>
    </row>
    <row r="222" spans="1:6" x14ac:dyDescent="0.25">
      <c r="A222" t="s">
        <v>227</v>
      </c>
      <c r="B222">
        <v>2010</v>
      </c>
      <c r="C222" t="s">
        <v>243</v>
      </c>
      <c r="D222" t="s">
        <v>8</v>
      </c>
      <c r="E222" t="s">
        <v>146</v>
      </c>
      <c r="F222" s="1">
        <v>36000000</v>
      </c>
    </row>
    <row r="223" spans="1:6" x14ac:dyDescent="0.25">
      <c r="A223" t="s">
        <v>227</v>
      </c>
      <c r="B223">
        <v>2010</v>
      </c>
      <c r="C223" t="s">
        <v>244</v>
      </c>
      <c r="D223" t="s">
        <v>8</v>
      </c>
      <c r="E223" t="s">
        <v>52</v>
      </c>
      <c r="F223" s="1">
        <v>16395401</v>
      </c>
    </row>
    <row r="224" spans="1:6" x14ac:dyDescent="0.25">
      <c r="A224" t="s">
        <v>227</v>
      </c>
      <c r="B224">
        <v>2011</v>
      </c>
      <c r="C224" t="s">
        <v>245</v>
      </c>
      <c r="D224" t="s">
        <v>8</v>
      </c>
      <c r="E224" t="s">
        <v>69</v>
      </c>
      <c r="F224" s="1">
        <v>38736573</v>
      </c>
    </row>
    <row r="225" spans="1:7" x14ac:dyDescent="0.25">
      <c r="A225" t="s">
        <v>227</v>
      </c>
      <c r="B225">
        <v>2014</v>
      </c>
      <c r="C225" t="s">
        <v>246</v>
      </c>
      <c r="D225" t="s">
        <v>8</v>
      </c>
      <c r="E225" t="s">
        <v>229</v>
      </c>
      <c r="F225" s="1">
        <v>12151212</v>
      </c>
    </row>
    <row r="226" spans="1:7" x14ac:dyDescent="0.25">
      <c r="A226" t="s">
        <v>227</v>
      </c>
      <c r="B226">
        <v>2014</v>
      </c>
      <c r="C226" t="s">
        <v>247</v>
      </c>
      <c r="D226" t="s">
        <v>8</v>
      </c>
      <c r="E226" t="s">
        <v>69</v>
      </c>
      <c r="F226" s="1">
        <v>18956502</v>
      </c>
    </row>
    <row r="227" spans="1:7" x14ac:dyDescent="0.25">
      <c r="A227" s="6" t="s">
        <v>227</v>
      </c>
      <c r="B227" s="6">
        <v>2011</v>
      </c>
      <c r="C227" s="6" t="s">
        <v>248</v>
      </c>
      <c r="D227" s="6" t="s">
        <v>19</v>
      </c>
      <c r="E227" s="6" t="s">
        <v>69</v>
      </c>
      <c r="F227" s="7">
        <v>10573813</v>
      </c>
    </row>
    <row r="228" spans="1:7" x14ac:dyDescent="0.25">
      <c r="A228" s="148" t="s">
        <v>227</v>
      </c>
      <c r="B228" s="148">
        <v>2018</v>
      </c>
      <c r="C228" s="148" t="s">
        <v>390</v>
      </c>
      <c r="D228" s="148" t="s">
        <v>8</v>
      </c>
      <c r="E228" s="148" t="s">
        <v>75</v>
      </c>
      <c r="F228" s="149">
        <v>23058000</v>
      </c>
    </row>
    <row r="229" spans="1:7" s="6" customFormat="1" x14ac:dyDescent="0.25">
      <c r="F229" s="7"/>
      <c r="G229" s="130">
        <f>SUM(F205:F229)</f>
        <v>470804502</v>
      </c>
    </row>
    <row r="230" spans="1:7" x14ac:dyDescent="0.25">
      <c r="A230" s="132" t="s">
        <v>249</v>
      </c>
      <c r="B230" s="132">
        <v>2009</v>
      </c>
      <c r="C230" s="132" t="s">
        <v>250</v>
      </c>
      <c r="D230" s="132" t="s">
        <v>8</v>
      </c>
      <c r="E230" s="132" t="s">
        <v>52</v>
      </c>
      <c r="F230" s="133">
        <v>62700392</v>
      </c>
      <c r="G230" s="132"/>
    </row>
    <row r="231" spans="1:7" x14ac:dyDescent="0.25">
      <c r="A231" t="s">
        <v>249</v>
      </c>
      <c r="B231">
        <v>2009</v>
      </c>
      <c r="C231" t="s">
        <v>251</v>
      </c>
      <c r="D231" t="s">
        <v>8</v>
      </c>
      <c r="E231" t="s">
        <v>58</v>
      </c>
      <c r="F231" s="1">
        <v>39486474</v>
      </c>
    </row>
    <row r="232" spans="1:7" x14ac:dyDescent="0.25">
      <c r="A232" t="s">
        <v>249</v>
      </c>
      <c r="B232">
        <v>2009</v>
      </c>
      <c r="C232" t="s">
        <v>252</v>
      </c>
      <c r="D232" t="s">
        <v>8</v>
      </c>
      <c r="E232" t="s">
        <v>58</v>
      </c>
      <c r="F232" s="1">
        <v>14193696</v>
      </c>
    </row>
    <row r="233" spans="1:7" x14ac:dyDescent="0.25">
      <c r="A233" t="s">
        <v>249</v>
      </c>
      <c r="B233">
        <v>2009</v>
      </c>
      <c r="C233" t="s">
        <v>253</v>
      </c>
      <c r="D233" t="s">
        <v>8</v>
      </c>
      <c r="E233" t="s">
        <v>229</v>
      </c>
      <c r="F233" s="1">
        <v>15808053</v>
      </c>
    </row>
    <row r="234" spans="1:7" x14ac:dyDescent="0.25">
      <c r="A234" t="s">
        <v>249</v>
      </c>
      <c r="B234">
        <v>2010</v>
      </c>
      <c r="C234" t="s">
        <v>254</v>
      </c>
      <c r="D234" t="s">
        <v>8</v>
      </c>
      <c r="E234" t="s">
        <v>146</v>
      </c>
      <c r="F234" s="1">
        <v>97010971</v>
      </c>
    </row>
    <row r="235" spans="1:7" x14ac:dyDescent="0.25">
      <c r="A235" t="s">
        <v>249</v>
      </c>
      <c r="B235">
        <v>2012</v>
      </c>
      <c r="C235" t="s">
        <v>255</v>
      </c>
      <c r="D235" t="s">
        <v>8</v>
      </c>
      <c r="E235" t="s">
        <v>229</v>
      </c>
      <c r="F235" s="1">
        <v>29794180</v>
      </c>
    </row>
    <row r="236" spans="1:7" x14ac:dyDescent="0.25">
      <c r="A236" t="s">
        <v>249</v>
      </c>
      <c r="B236">
        <v>2013</v>
      </c>
      <c r="C236" t="s">
        <v>256</v>
      </c>
      <c r="D236" t="s">
        <v>8</v>
      </c>
      <c r="E236" t="s">
        <v>146</v>
      </c>
      <c r="F236" s="1">
        <v>29852815</v>
      </c>
    </row>
    <row r="237" spans="1:7" x14ac:dyDescent="0.25">
      <c r="A237" t="s">
        <v>249</v>
      </c>
      <c r="B237">
        <v>2013</v>
      </c>
      <c r="C237" t="s">
        <v>257</v>
      </c>
      <c r="D237" t="s">
        <v>8</v>
      </c>
      <c r="E237" t="s">
        <v>52</v>
      </c>
      <c r="F237" s="1">
        <v>7962123</v>
      </c>
    </row>
    <row r="238" spans="1:7" x14ac:dyDescent="0.25">
      <c r="A238" t="s">
        <v>249</v>
      </c>
      <c r="B238">
        <v>2014</v>
      </c>
      <c r="C238" t="s">
        <v>258</v>
      </c>
      <c r="D238" t="s">
        <v>8</v>
      </c>
      <c r="E238" t="s">
        <v>9</v>
      </c>
      <c r="F238" s="1">
        <v>37092578</v>
      </c>
    </row>
    <row r="239" spans="1:7" x14ac:dyDescent="0.25">
      <c r="A239" t="s">
        <v>249</v>
      </c>
      <c r="B239">
        <v>2014</v>
      </c>
      <c r="C239" t="s">
        <v>259</v>
      </c>
      <c r="D239" t="s">
        <v>8</v>
      </c>
      <c r="E239" t="s">
        <v>31</v>
      </c>
      <c r="F239" s="1">
        <v>12058600</v>
      </c>
    </row>
    <row r="240" spans="1:7" x14ac:dyDescent="0.25">
      <c r="A240" t="s">
        <v>249</v>
      </c>
      <c r="B240">
        <v>2014</v>
      </c>
      <c r="C240" t="s">
        <v>260</v>
      </c>
      <c r="D240" t="s">
        <v>8</v>
      </c>
      <c r="E240" t="s">
        <v>75</v>
      </c>
      <c r="F240" s="1">
        <v>5468139</v>
      </c>
    </row>
    <row r="241" spans="1:7" x14ac:dyDescent="0.25">
      <c r="A241" t="s">
        <v>249</v>
      </c>
      <c r="B241">
        <v>2013</v>
      </c>
      <c r="C241" t="s">
        <v>261</v>
      </c>
      <c r="D241" t="s">
        <v>33</v>
      </c>
      <c r="E241" t="s">
        <v>9</v>
      </c>
      <c r="F241" s="1">
        <v>33247088</v>
      </c>
    </row>
    <row r="242" spans="1:7" x14ac:dyDescent="0.25">
      <c r="A242" t="s">
        <v>249</v>
      </c>
      <c r="B242">
        <v>2011</v>
      </c>
      <c r="C242" t="s">
        <v>262</v>
      </c>
      <c r="D242" t="s">
        <v>33</v>
      </c>
      <c r="E242" t="s">
        <v>49</v>
      </c>
      <c r="F242" s="1">
        <v>12684274</v>
      </c>
    </row>
    <row r="243" spans="1:7" x14ac:dyDescent="0.25">
      <c r="A243" t="s">
        <v>249</v>
      </c>
      <c r="B243">
        <v>2011</v>
      </c>
      <c r="C243" t="s">
        <v>264</v>
      </c>
      <c r="D243" t="s">
        <v>33</v>
      </c>
      <c r="E243" t="s">
        <v>11</v>
      </c>
      <c r="F243" s="1">
        <v>33205861</v>
      </c>
    </row>
    <row r="244" spans="1:7" x14ac:dyDescent="0.25">
      <c r="A244" t="s">
        <v>249</v>
      </c>
      <c r="B244">
        <v>2013</v>
      </c>
      <c r="C244" t="s">
        <v>263</v>
      </c>
      <c r="D244" t="s">
        <v>33</v>
      </c>
      <c r="E244" t="s">
        <v>69</v>
      </c>
      <c r="F244" s="1">
        <v>23546845</v>
      </c>
    </row>
    <row r="245" spans="1:7" x14ac:dyDescent="0.25">
      <c r="A245" s="127" t="s">
        <v>249</v>
      </c>
      <c r="B245" s="127">
        <v>2016</v>
      </c>
      <c r="C245" s="127" t="s">
        <v>265</v>
      </c>
      <c r="D245" s="127" t="s">
        <v>19</v>
      </c>
      <c r="E245" s="127" t="s">
        <v>266</v>
      </c>
      <c r="F245" s="117">
        <v>13840000</v>
      </c>
    </row>
    <row r="246" spans="1:7" x14ac:dyDescent="0.25">
      <c r="A246" s="127" t="s">
        <v>249</v>
      </c>
      <c r="B246" s="127">
        <v>2015</v>
      </c>
      <c r="C246" s="127" t="s">
        <v>267</v>
      </c>
      <c r="D246" s="127" t="s">
        <v>8</v>
      </c>
      <c r="E246" s="127" t="s">
        <v>11</v>
      </c>
      <c r="F246" s="117">
        <v>61494549</v>
      </c>
    </row>
    <row r="247" spans="1:7" x14ac:dyDescent="0.25">
      <c r="A247" s="146" t="s">
        <v>249</v>
      </c>
      <c r="B247" s="146">
        <v>2017</v>
      </c>
      <c r="C247" s="146" t="s">
        <v>268</v>
      </c>
      <c r="D247" s="146" t="s">
        <v>8</v>
      </c>
      <c r="E247" s="146" t="s">
        <v>58</v>
      </c>
      <c r="F247" s="147">
        <v>61500000</v>
      </c>
    </row>
    <row r="248" spans="1:7" x14ac:dyDescent="0.25">
      <c r="A248" s="148" t="s">
        <v>249</v>
      </c>
      <c r="B248" s="148">
        <v>2017</v>
      </c>
      <c r="C248" s="148" t="s">
        <v>416</v>
      </c>
      <c r="D248" s="148" t="s">
        <v>8</v>
      </c>
      <c r="E248" s="148" t="s">
        <v>58</v>
      </c>
      <c r="F248" s="149">
        <v>5340786</v>
      </c>
    </row>
    <row r="249" spans="1:7" x14ac:dyDescent="0.25">
      <c r="A249" s="148" t="s">
        <v>249</v>
      </c>
      <c r="B249" s="148">
        <v>2019</v>
      </c>
      <c r="C249" s="148" t="s">
        <v>417</v>
      </c>
      <c r="D249" s="148" t="s">
        <v>19</v>
      </c>
      <c r="E249" s="148" t="s">
        <v>266</v>
      </c>
      <c r="F249" s="149">
        <v>5699751</v>
      </c>
    </row>
    <row r="250" spans="1:7" x14ac:dyDescent="0.25">
      <c r="A250" s="148" t="s">
        <v>249</v>
      </c>
      <c r="B250" s="148">
        <v>2020</v>
      </c>
      <c r="C250" s="148" t="s">
        <v>418</v>
      </c>
      <c r="D250" s="148" t="s">
        <v>8</v>
      </c>
      <c r="E250" s="148" t="s">
        <v>229</v>
      </c>
      <c r="F250" s="149">
        <v>94248688</v>
      </c>
    </row>
    <row r="251" spans="1:7" x14ac:dyDescent="0.25">
      <c r="A251" s="148" t="s">
        <v>249</v>
      </c>
      <c r="B251" s="148">
        <v>2019</v>
      </c>
      <c r="C251" s="148" t="s">
        <v>419</v>
      </c>
      <c r="D251" s="148" t="s">
        <v>19</v>
      </c>
      <c r="E251" s="148" t="s">
        <v>420</v>
      </c>
      <c r="F251" s="149">
        <v>5550474</v>
      </c>
    </row>
    <row r="252" spans="1:7" s="19" customFormat="1" x14ac:dyDescent="0.25">
      <c r="A252" s="21"/>
      <c r="B252" s="21"/>
      <c r="C252" s="21"/>
      <c r="D252" s="21"/>
      <c r="E252" s="21"/>
      <c r="F252" s="22"/>
      <c r="G252" s="130">
        <f>SUM(F230:F252)</f>
        <v>701786337</v>
      </c>
    </row>
    <row r="253" spans="1:7" x14ac:dyDescent="0.25">
      <c r="A253" s="132" t="s">
        <v>269</v>
      </c>
      <c r="B253" s="132">
        <v>2009</v>
      </c>
      <c r="C253" s="132" t="s">
        <v>270</v>
      </c>
      <c r="D253" s="132" t="s">
        <v>8</v>
      </c>
      <c r="E253" s="132" t="s">
        <v>75</v>
      </c>
      <c r="F253" s="133">
        <v>11216304</v>
      </c>
      <c r="G253" s="132"/>
    </row>
    <row r="254" spans="1:7" x14ac:dyDescent="0.25">
      <c r="A254" t="s">
        <v>269</v>
      </c>
      <c r="B254">
        <v>2009</v>
      </c>
      <c r="C254" t="s">
        <v>271</v>
      </c>
      <c r="D254" t="s">
        <v>8</v>
      </c>
      <c r="E254" t="s">
        <v>75</v>
      </c>
      <c r="F254" s="1">
        <v>13853380</v>
      </c>
    </row>
    <row r="255" spans="1:7" x14ac:dyDescent="0.25">
      <c r="A255" t="s">
        <v>269</v>
      </c>
      <c r="B255">
        <v>2012</v>
      </c>
      <c r="C255" t="s">
        <v>272</v>
      </c>
      <c r="D255" t="s">
        <v>8</v>
      </c>
      <c r="E255" t="s">
        <v>11</v>
      </c>
      <c r="F255" s="1">
        <v>66737161</v>
      </c>
    </row>
    <row r="256" spans="1:7" x14ac:dyDescent="0.25">
      <c r="A256" t="s">
        <v>269</v>
      </c>
      <c r="B256">
        <v>2014</v>
      </c>
      <c r="C256" t="s">
        <v>273</v>
      </c>
      <c r="D256" t="s">
        <v>8</v>
      </c>
      <c r="E256" t="s">
        <v>75</v>
      </c>
      <c r="F256" s="1">
        <v>28876276</v>
      </c>
    </row>
    <row r="257" spans="1:7" x14ac:dyDescent="0.25">
      <c r="A257" s="127" t="s">
        <v>269</v>
      </c>
      <c r="B257" s="127">
        <v>2015</v>
      </c>
      <c r="C257" s="127" t="s">
        <v>274</v>
      </c>
      <c r="D257" s="127" t="s">
        <v>8</v>
      </c>
      <c r="E257" s="127" t="s">
        <v>9</v>
      </c>
      <c r="F257" s="117">
        <v>19521343</v>
      </c>
    </row>
    <row r="258" spans="1:7" x14ac:dyDescent="0.25">
      <c r="A258" s="127" t="s">
        <v>269</v>
      </c>
      <c r="B258" s="127">
        <v>2015</v>
      </c>
      <c r="C258" s="127" t="s">
        <v>275</v>
      </c>
      <c r="D258" s="146" t="s">
        <v>8</v>
      </c>
      <c r="E258" s="127" t="s">
        <v>75</v>
      </c>
      <c r="F258" s="117">
        <v>33201000</v>
      </c>
    </row>
    <row r="259" spans="1:7" x14ac:dyDescent="0.25">
      <c r="A259" s="146" t="s">
        <v>269</v>
      </c>
      <c r="B259" s="146">
        <v>2017</v>
      </c>
      <c r="C259" s="146" t="s">
        <v>276</v>
      </c>
      <c r="D259" s="146" t="s">
        <v>8</v>
      </c>
      <c r="E259" s="146" t="s">
        <v>11</v>
      </c>
      <c r="F259" s="147">
        <v>43275000</v>
      </c>
    </row>
    <row r="260" spans="1:7" x14ac:dyDescent="0.25">
      <c r="A260" s="148" t="s">
        <v>269</v>
      </c>
      <c r="B260" s="148">
        <v>2018</v>
      </c>
      <c r="C260" s="148" t="s">
        <v>363</v>
      </c>
      <c r="D260" s="148" t="s">
        <v>8</v>
      </c>
      <c r="E260" s="148" t="s">
        <v>11</v>
      </c>
      <c r="F260" s="149">
        <v>44188000</v>
      </c>
    </row>
    <row r="261" spans="1:7" s="21" customFormat="1" x14ac:dyDescent="0.25">
      <c r="F261" s="22"/>
      <c r="G261" s="130">
        <f>SUM(F253:F261)</f>
        <v>260868464</v>
      </c>
    </row>
    <row r="262" spans="1:7" x14ac:dyDescent="0.25">
      <c r="A262" s="132" t="s">
        <v>277</v>
      </c>
      <c r="B262" s="132">
        <v>2008</v>
      </c>
      <c r="C262" s="132" t="s">
        <v>278</v>
      </c>
      <c r="D262" s="132" t="s">
        <v>8</v>
      </c>
      <c r="E262" s="132" t="s">
        <v>49</v>
      </c>
      <c r="F262" s="133">
        <v>8625147</v>
      </c>
      <c r="G262" s="132"/>
    </row>
    <row r="263" spans="1:7" x14ac:dyDescent="0.25">
      <c r="A263" t="s">
        <v>277</v>
      </c>
      <c r="B263">
        <v>2009</v>
      </c>
      <c r="C263" t="s">
        <v>279</v>
      </c>
      <c r="D263" t="s">
        <v>8</v>
      </c>
      <c r="E263" t="s">
        <v>11</v>
      </c>
      <c r="F263" s="1">
        <v>5881832</v>
      </c>
    </row>
    <row r="264" spans="1:7" x14ac:dyDescent="0.25">
      <c r="A264" t="s">
        <v>277</v>
      </c>
      <c r="B264">
        <v>2011</v>
      </c>
      <c r="C264" t="s">
        <v>280</v>
      </c>
      <c r="D264" t="s">
        <v>8</v>
      </c>
      <c r="E264" t="s">
        <v>11</v>
      </c>
      <c r="F264" s="1">
        <v>53526409</v>
      </c>
    </row>
    <row r="265" spans="1:7" x14ac:dyDescent="0.25">
      <c r="A265" t="s">
        <v>277</v>
      </c>
      <c r="B265">
        <v>2011</v>
      </c>
      <c r="C265" t="s">
        <v>281</v>
      </c>
      <c r="D265" t="s">
        <v>8</v>
      </c>
      <c r="E265" t="s">
        <v>282</v>
      </c>
      <c r="F265" s="1">
        <v>11469095</v>
      </c>
    </row>
    <row r="266" spans="1:7" x14ac:dyDescent="0.25">
      <c r="A266" t="s">
        <v>277</v>
      </c>
      <c r="B266">
        <v>2011</v>
      </c>
      <c r="C266" t="s">
        <v>283</v>
      </c>
      <c r="D266" t="s">
        <v>8</v>
      </c>
      <c r="E266" t="s">
        <v>282</v>
      </c>
      <c r="F266" s="1">
        <v>7475220</v>
      </c>
    </row>
    <row r="267" spans="1:7" x14ac:dyDescent="0.25">
      <c r="A267" t="s">
        <v>277</v>
      </c>
      <c r="B267">
        <v>2012</v>
      </c>
      <c r="C267" t="s">
        <v>284</v>
      </c>
      <c r="D267" t="s">
        <v>8</v>
      </c>
      <c r="E267" t="s">
        <v>9</v>
      </c>
      <c r="F267" s="1">
        <v>20014505</v>
      </c>
    </row>
    <row r="268" spans="1:7" x14ac:dyDescent="0.25">
      <c r="A268" t="s">
        <v>277</v>
      </c>
      <c r="B268">
        <v>2012</v>
      </c>
      <c r="C268" t="s">
        <v>285</v>
      </c>
      <c r="D268" t="s">
        <v>8</v>
      </c>
      <c r="E268" t="s">
        <v>11</v>
      </c>
      <c r="F268" s="1">
        <v>7334710</v>
      </c>
    </row>
    <row r="269" spans="1:7" x14ac:dyDescent="0.25">
      <c r="A269" t="s">
        <v>277</v>
      </c>
      <c r="B269">
        <v>2012</v>
      </c>
      <c r="C269" t="s">
        <v>286</v>
      </c>
      <c r="D269" t="s">
        <v>8</v>
      </c>
      <c r="E269" t="s">
        <v>9</v>
      </c>
      <c r="F269" s="1">
        <v>11770972</v>
      </c>
    </row>
    <row r="270" spans="1:7" x14ac:dyDescent="0.25">
      <c r="A270" t="s">
        <v>277</v>
      </c>
      <c r="B270">
        <v>2012</v>
      </c>
      <c r="C270" t="s">
        <v>287</v>
      </c>
      <c r="D270" t="s">
        <v>8</v>
      </c>
      <c r="E270" t="s">
        <v>9</v>
      </c>
      <c r="F270" s="1">
        <v>7577000</v>
      </c>
    </row>
    <row r="271" spans="1:7" x14ac:dyDescent="0.25">
      <c r="A271" t="s">
        <v>277</v>
      </c>
      <c r="B271">
        <v>2013</v>
      </c>
      <c r="C271" t="s">
        <v>288</v>
      </c>
      <c r="D271" t="s">
        <v>8</v>
      </c>
      <c r="E271" t="s">
        <v>146</v>
      </c>
      <c r="F271" s="1">
        <v>5260000</v>
      </c>
    </row>
    <row r="272" spans="1:7" x14ac:dyDescent="0.25">
      <c r="A272" t="s">
        <v>277</v>
      </c>
      <c r="B272">
        <v>2014</v>
      </c>
      <c r="C272" t="s">
        <v>289</v>
      </c>
      <c r="D272" t="s">
        <v>8</v>
      </c>
      <c r="E272" t="s">
        <v>143</v>
      </c>
      <c r="F272" s="1">
        <v>22078719</v>
      </c>
    </row>
    <row r="273" spans="1:7" x14ac:dyDescent="0.25">
      <c r="A273" t="s">
        <v>277</v>
      </c>
      <c r="B273">
        <v>2014</v>
      </c>
      <c r="C273" t="s">
        <v>290</v>
      </c>
      <c r="D273" t="s">
        <v>8</v>
      </c>
      <c r="E273" t="s">
        <v>58</v>
      </c>
      <c r="F273" s="1">
        <v>5600000</v>
      </c>
    </row>
    <row r="274" spans="1:7" x14ac:dyDescent="0.25">
      <c r="A274" s="127" t="s">
        <v>277</v>
      </c>
      <c r="B274" s="127">
        <v>2016</v>
      </c>
      <c r="C274" s="127" t="s">
        <v>291</v>
      </c>
      <c r="D274" s="127" t="s">
        <v>8</v>
      </c>
      <c r="E274" s="127" t="s">
        <v>9</v>
      </c>
      <c r="F274" s="117">
        <v>19463177</v>
      </c>
    </row>
    <row r="275" spans="1:7" x14ac:dyDescent="0.25">
      <c r="A275" s="127" t="s">
        <v>277</v>
      </c>
      <c r="B275" s="127">
        <v>2016</v>
      </c>
      <c r="C275" s="127" t="s">
        <v>407</v>
      </c>
      <c r="D275" s="127" t="s">
        <v>8</v>
      </c>
      <c r="E275" s="127" t="s">
        <v>11</v>
      </c>
      <c r="F275" s="117">
        <v>15600000</v>
      </c>
    </row>
    <row r="276" spans="1:7" x14ac:dyDescent="0.25">
      <c r="A276" s="127" t="s">
        <v>277</v>
      </c>
      <c r="B276" s="127">
        <v>2016</v>
      </c>
      <c r="C276" s="127" t="s">
        <v>406</v>
      </c>
      <c r="D276" s="127" t="s">
        <v>8</v>
      </c>
      <c r="E276" s="127" t="s">
        <v>220</v>
      </c>
      <c r="F276" s="117">
        <v>30254000</v>
      </c>
    </row>
    <row r="277" spans="1:7" x14ac:dyDescent="0.25">
      <c r="A277" s="127" t="s">
        <v>277</v>
      </c>
      <c r="B277" s="127">
        <v>2017</v>
      </c>
      <c r="C277" s="127" t="s">
        <v>292</v>
      </c>
      <c r="D277" s="127" t="s">
        <v>8</v>
      </c>
      <c r="E277" s="127" t="s">
        <v>178</v>
      </c>
      <c r="F277" s="117">
        <v>118503000</v>
      </c>
    </row>
    <row r="278" spans="1:7" x14ac:dyDescent="0.25">
      <c r="A278" s="146" t="s">
        <v>277</v>
      </c>
      <c r="B278" s="146">
        <v>2017</v>
      </c>
      <c r="C278" s="146" t="s">
        <v>293</v>
      </c>
      <c r="D278" s="146" t="s">
        <v>8</v>
      </c>
      <c r="E278" s="146" t="s">
        <v>58</v>
      </c>
      <c r="F278" s="147">
        <v>22613000</v>
      </c>
    </row>
    <row r="279" spans="1:7" x14ac:dyDescent="0.25">
      <c r="A279" s="178" t="s">
        <v>277</v>
      </c>
      <c r="B279" s="178">
        <v>2018</v>
      </c>
      <c r="C279" s="178" t="s">
        <v>403</v>
      </c>
      <c r="D279" s="178" t="s">
        <v>8</v>
      </c>
      <c r="E279" s="178" t="s">
        <v>178</v>
      </c>
      <c r="F279" s="179">
        <v>5821504</v>
      </c>
    </row>
    <row r="280" spans="1:7" x14ac:dyDescent="0.25">
      <c r="A280" s="178" t="s">
        <v>277</v>
      </c>
      <c r="B280" s="178">
        <v>2020</v>
      </c>
      <c r="C280" s="178" t="s">
        <v>402</v>
      </c>
      <c r="D280" s="178" t="s">
        <v>8</v>
      </c>
      <c r="E280" s="178" t="s">
        <v>11</v>
      </c>
      <c r="F280" s="179">
        <v>122718484</v>
      </c>
    </row>
    <row r="281" spans="1:7" x14ac:dyDescent="0.25">
      <c r="A281" s="178" t="s">
        <v>277</v>
      </c>
      <c r="B281" s="178">
        <v>2020</v>
      </c>
      <c r="C281" s="178" t="s">
        <v>404</v>
      </c>
      <c r="D281" s="178" t="s">
        <v>8</v>
      </c>
      <c r="E281" s="178" t="s">
        <v>58</v>
      </c>
      <c r="F281" s="179">
        <v>33738315</v>
      </c>
    </row>
    <row r="282" spans="1:7" x14ac:dyDescent="0.25">
      <c r="A282" s="178" t="s">
        <v>277</v>
      </c>
      <c r="B282" s="178">
        <v>2019</v>
      </c>
      <c r="C282" s="178" t="s">
        <v>408</v>
      </c>
      <c r="D282" s="178" t="s">
        <v>8</v>
      </c>
      <c r="E282" s="178" t="s">
        <v>58</v>
      </c>
      <c r="F282" s="179">
        <v>15775385</v>
      </c>
    </row>
    <row r="283" spans="1:7" x14ac:dyDescent="0.25">
      <c r="A283" s="178" t="s">
        <v>277</v>
      </c>
      <c r="B283" s="178">
        <v>2021</v>
      </c>
      <c r="C283" s="178" t="s">
        <v>409</v>
      </c>
      <c r="D283" s="178" t="s">
        <v>8</v>
      </c>
      <c r="E283" s="178" t="s">
        <v>52</v>
      </c>
      <c r="F283" s="179">
        <v>69914000</v>
      </c>
    </row>
    <row r="284" spans="1:7" x14ac:dyDescent="0.25">
      <c r="A284" s="178" t="s">
        <v>277</v>
      </c>
      <c r="B284" s="178">
        <v>2021</v>
      </c>
      <c r="C284" s="178" t="s">
        <v>410</v>
      </c>
      <c r="D284" s="178" t="s">
        <v>8</v>
      </c>
      <c r="E284" s="178" t="s">
        <v>58</v>
      </c>
      <c r="F284" s="179">
        <v>34500000</v>
      </c>
    </row>
    <row r="285" spans="1:7" s="19" customFormat="1" x14ac:dyDescent="0.25">
      <c r="A285" s="21"/>
      <c r="B285" s="21"/>
      <c r="C285" s="21"/>
      <c r="D285" s="21"/>
      <c r="E285" s="21"/>
      <c r="F285" s="22"/>
      <c r="G285" s="130">
        <f>SUM(F262:F285)</f>
        <v>655514474</v>
      </c>
    </row>
    <row r="286" spans="1:7" x14ac:dyDescent="0.25">
      <c r="A286" s="132"/>
      <c r="B286" s="132"/>
      <c r="C286" s="132"/>
      <c r="D286" s="132"/>
      <c r="E286" s="132"/>
      <c r="F286" s="168">
        <f>SUM(F9:F285)</f>
        <v>6321003753</v>
      </c>
      <c r="G286" s="168">
        <f>SUM(G9:G285)</f>
        <v>6321003753</v>
      </c>
    </row>
    <row r="287" spans="1:7" x14ac:dyDescent="0.25">
      <c r="E287" s="188" t="s">
        <v>444</v>
      </c>
      <c r="F287" s="189">
        <f>COUNTA(F9:F285)</f>
        <v>262</v>
      </c>
    </row>
  </sheetData>
  <mergeCells count="1">
    <mergeCell ref="A2:C2"/>
  </mergeCells>
  <pageMargins left="0.25" right="0.25" top="0.75" bottom="0.75" header="0.3" footer="0.3"/>
  <pageSetup paperSize="5" scale="89" fitToHeight="0" orientation="landscape" r:id="rId1"/>
  <headerFooter>
    <oddHeader>&amp;C&amp;"-,Bold"&amp;12MASTER LIST OF PROJECTS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278"/>
  <sheetViews>
    <sheetView topLeftCell="B1" zoomScaleNormal="100" workbookViewId="0">
      <selection activeCell="I16" sqref="I16"/>
    </sheetView>
  </sheetViews>
  <sheetFormatPr defaultRowHeight="15" x14ac:dyDescent="0.25"/>
  <cols>
    <col min="1" max="1" width="13.7109375" bestFit="1" customWidth="1"/>
    <col min="2" max="2" width="9.7109375" bestFit="1" customWidth="1"/>
    <col min="3" max="3" width="81.28515625" bestFit="1" customWidth="1"/>
    <col min="4" max="4" width="23.42578125" bestFit="1" customWidth="1"/>
    <col min="5" max="5" width="34" bestFit="1" customWidth="1"/>
    <col min="6" max="6" width="13.85546875" bestFit="1" customWidth="1"/>
    <col min="7" max="7" width="13.7109375" bestFit="1" customWidth="1"/>
    <col min="8" max="8" width="6.140625" customWidth="1"/>
    <col min="9" max="9" width="23.28515625" bestFit="1" customWidth="1"/>
    <col min="11" max="11" width="13.85546875" bestFit="1" customWidth="1"/>
    <col min="12" max="12" width="14.5703125" bestFit="1" customWidth="1"/>
    <col min="13" max="13" width="12.85546875" bestFit="1" customWidth="1"/>
  </cols>
  <sheetData>
    <row r="1" spans="1:13" ht="19.5" thickBot="1" x14ac:dyDescent="0.35">
      <c r="A1" s="215" t="s">
        <v>368</v>
      </c>
      <c r="B1" s="216"/>
      <c r="C1" s="216"/>
      <c r="D1" s="216"/>
      <c r="E1" s="216"/>
      <c r="F1" s="217"/>
      <c r="H1" s="231" t="s">
        <v>311</v>
      </c>
      <c r="I1" s="218" t="s">
        <v>366</v>
      </c>
      <c r="J1" s="218"/>
      <c r="K1" s="218"/>
      <c r="L1" s="218"/>
      <c r="M1" s="219"/>
    </row>
    <row r="2" spans="1:13" ht="15.75" x14ac:dyDescent="0.25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4" t="s">
        <v>5</v>
      </c>
      <c r="G2" s="3"/>
      <c r="H2" s="232"/>
      <c r="I2" s="6"/>
      <c r="J2" s="6"/>
      <c r="K2" s="5" t="s">
        <v>312</v>
      </c>
      <c r="L2" s="5" t="s">
        <v>313</v>
      </c>
      <c r="M2" s="24" t="s">
        <v>314</v>
      </c>
    </row>
    <row r="3" spans="1:13" x14ac:dyDescent="0.25">
      <c r="A3" t="s">
        <v>6</v>
      </c>
      <c r="B3">
        <v>2010</v>
      </c>
      <c r="C3" t="s">
        <v>7</v>
      </c>
      <c r="D3" t="s">
        <v>8</v>
      </c>
      <c r="E3" t="s">
        <v>9</v>
      </c>
      <c r="F3" s="1">
        <v>27800000</v>
      </c>
      <c r="H3" s="232"/>
      <c r="I3" s="54" t="s">
        <v>315</v>
      </c>
      <c r="J3" s="6">
        <f>COUNTA(C3:C178)</f>
        <v>176</v>
      </c>
      <c r="K3" s="7">
        <f>F179</f>
        <v>3714051213</v>
      </c>
      <c r="L3" s="6"/>
      <c r="M3" s="26"/>
    </row>
    <row r="4" spans="1:13" x14ac:dyDescent="0.25">
      <c r="A4" t="s">
        <v>6</v>
      </c>
      <c r="B4">
        <v>2010</v>
      </c>
      <c r="C4" t="s">
        <v>10</v>
      </c>
      <c r="D4" t="s">
        <v>8</v>
      </c>
      <c r="E4" t="s">
        <v>11</v>
      </c>
      <c r="F4" s="1">
        <v>58700000</v>
      </c>
      <c r="H4" s="232"/>
      <c r="I4" s="54" t="s">
        <v>316</v>
      </c>
      <c r="J4" s="6">
        <f>J3-J5</f>
        <v>152</v>
      </c>
      <c r="K4" s="7">
        <f>K3-K5</f>
        <v>3432912393</v>
      </c>
      <c r="L4" s="18">
        <f>J4/J3</f>
        <v>0.86363636363636365</v>
      </c>
      <c r="M4" s="29">
        <f>K4/K3</f>
        <v>0.92430400016673109</v>
      </c>
    </row>
    <row r="5" spans="1:13" ht="15.75" thickBot="1" x14ac:dyDescent="0.3">
      <c r="A5" t="s">
        <v>6</v>
      </c>
      <c r="B5">
        <v>2011</v>
      </c>
      <c r="C5" t="s">
        <v>12</v>
      </c>
      <c r="D5" t="s">
        <v>8</v>
      </c>
      <c r="E5" t="s">
        <v>11</v>
      </c>
      <c r="F5" s="1">
        <v>16400000</v>
      </c>
      <c r="H5" s="232"/>
      <c r="I5" s="54" t="s">
        <v>317</v>
      </c>
      <c r="J5" s="6">
        <f>COUNTIF(D3:D178, "*Competitive Bid*")</f>
        <v>24</v>
      </c>
      <c r="K5" s="7">
        <f>F12+F13+F14+F33+F34+F35+F36+F37+F38+F39+F40+F50+F55+F56+F57+F58+F63+F64+F102+F123+F137+F138+F139+F147</f>
        <v>281138820</v>
      </c>
      <c r="L5" s="30">
        <f>J5/J3</f>
        <v>0.13636363636363635</v>
      </c>
      <c r="M5" s="31">
        <f>K5/K3</f>
        <v>7.5695999833268857E-2</v>
      </c>
    </row>
    <row r="6" spans="1:13" ht="15.75" thickBot="1" x14ac:dyDescent="0.3">
      <c r="A6" t="s">
        <v>6</v>
      </c>
      <c r="B6">
        <v>2011</v>
      </c>
      <c r="C6" t="s">
        <v>13</v>
      </c>
      <c r="D6" t="s">
        <v>8</v>
      </c>
      <c r="E6" t="s">
        <v>11</v>
      </c>
      <c r="F6" s="1">
        <v>45100000</v>
      </c>
      <c r="H6" s="232"/>
      <c r="I6" s="28"/>
      <c r="J6" s="28"/>
      <c r="K6" s="28"/>
      <c r="L6" s="30">
        <f>L4+L5</f>
        <v>1</v>
      </c>
      <c r="M6" s="31">
        <f>M4+M5</f>
        <v>1</v>
      </c>
    </row>
    <row r="7" spans="1:13" ht="15.75" thickBot="1" x14ac:dyDescent="0.3">
      <c r="A7" t="s">
        <v>6</v>
      </c>
      <c r="B7">
        <v>2012</v>
      </c>
      <c r="C7" t="s">
        <v>14</v>
      </c>
      <c r="D7" t="s">
        <v>8</v>
      </c>
      <c r="E7" t="s">
        <v>9</v>
      </c>
      <c r="F7" s="1">
        <v>33100000</v>
      </c>
      <c r="H7" s="232"/>
    </row>
    <row r="8" spans="1:13" ht="18.75" x14ac:dyDescent="0.3">
      <c r="A8" s="33" t="s">
        <v>6</v>
      </c>
      <c r="B8" s="33">
        <v>2012</v>
      </c>
      <c r="C8" s="33" t="s">
        <v>15</v>
      </c>
      <c r="D8" s="33" t="s">
        <v>8</v>
      </c>
      <c r="E8" s="33" t="s">
        <v>9</v>
      </c>
      <c r="F8" s="34">
        <v>6400000</v>
      </c>
      <c r="H8" s="232"/>
      <c r="I8" s="223" t="s">
        <v>365</v>
      </c>
      <c r="J8" s="224"/>
      <c r="K8" s="224"/>
      <c r="L8" s="224"/>
      <c r="M8" s="225"/>
    </row>
    <row r="9" spans="1:13" x14ac:dyDescent="0.25">
      <c r="A9" t="s">
        <v>6</v>
      </c>
      <c r="B9">
        <v>2014</v>
      </c>
      <c r="C9" t="s">
        <v>16</v>
      </c>
      <c r="D9" t="s">
        <v>8</v>
      </c>
      <c r="E9" t="s">
        <v>11</v>
      </c>
      <c r="F9" s="1">
        <v>42000000</v>
      </c>
      <c r="H9" s="232"/>
      <c r="I9" s="6"/>
      <c r="J9" s="6"/>
      <c r="K9" s="5" t="s">
        <v>312</v>
      </c>
      <c r="L9" s="5" t="s">
        <v>313</v>
      </c>
      <c r="M9" s="24" t="s">
        <v>314</v>
      </c>
    </row>
    <row r="10" spans="1:13" x14ac:dyDescent="0.25">
      <c r="A10" t="s">
        <v>23</v>
      </c>
      <c r="B10">
        <v>2012</v>
      </c>
      <c r="C10" t="s">
        <v>24</v>
      </c>
      <c r="D10" t="s">
        <v>8</v>
      </c>
      <c r="E10" t="s">
        <v>49</v>
      </c>
      <c r="F10" s="1">
        <v>40567069</v>
      </c>
      <c r="H10" s="232"/>
      <c r="I10" s="54" t="s">
        <v>315</v>
      </c>
      <c r="J10" s="6">
        <f>COUNTA(C183:C225)</f>
        <v>43</v>
      </c>
      <c r="K10" s="7">
        <f>F226</f>
        <v>1331797409</v>
      </c>
      <c r="L10" s="6"/>
      <c r="M10" s="26"/>
    </row>
    <row r="11" spans="1:13" x14ac:dyDescent="0.25">
      <c r="A11" t="s">
        <v>23</v>
      </c>
      <c r="B11">
        <v>2014</v>
      </c>
      <c r="C11" t="s">
        <v>25</v>
      </c>
      <c r="D11" t="s">
        <v>8</v>
      </c>
      <c r="E11" t="s">
        <v>11</v>
      </c>
      <c r="F11" s="1">
        <v>40509946</v>
      </c>
      <c r="H11" s="232"/>
      <c r="I11" s="54" t="s">
        <v>316</v>
      </c>
      <c r="J11" s="6">
        <f>J10-J12</f>
        <v>36</v>
      </c>
      <c r="K11" s="7">
        <f>K10-K12</f>
        <v>1278410635</v>
      </c>
      <c r="L11" s="18">
        <f>J11/J10</f>
        <v>0.83720930232558144</v>
      </c>
      <c r="M11" s="29">
        <f>K11/K10</f>
        <v>0.95991374240614702</v>
      </c>
    </row>
    <row r="12" spans="1:13" ht="15.75" thickBot="1" x14ac:dyDescent="0.3">
      <c r="A12" t="s">
        <v>23</v>
      </c>
      <c r="B12">
        <v>2011</v>
      </c>
      <c r="C12" t="s">
        <v>26</v>
      </c>
      <c r="D12" s="125" t="s">
        <v>19</v>
      </c>
      <c r="E12" s="125" t="s">
        <v>27</v>
      </c>
      <c r="F12" s="123">
        <v>6877000</v>
      </c>
      <c r="H12" s="232"/>
      <c r="I12" s="54" t="s">
        <v>317</v>
      </c>
      <c r="J12" s="6">
        <f>COUNTIF(D183:D225, "*Competitive Bid*")</f>
        <v>7</v>
      </c>
      <c r="K12" s="7">
        <f>F184+F185+F189+F195+F197+F199+F215</f>
        <v>53386774</v>
      </c>
      <c r="L12" s="30">
        <f>J12/J10</f>
        <v>0.16279069767441862</v>
      </c>
      <c r="M12" s="31">
        <f>K12/K10</f>
        <v>4.0086257593853002E-2</v>
      </c>
    </row>
    <row r="13" spans="1:13" ht="15.75" thickBot="1" x14ac:dyDescent="0.3">
      <c r="A13" t="s">
        <v>23</v>
      </c>
      <c r="B13">
        <v>2012</v>
      </c>
      <c r="C13" t="s">
        <v>28</v>
      </c>
      <c r="D13" s="125" t="s">
        <v>19</v>
      </c>
      <c r="E13" s="125" t="s">
        <v>29</v>
      </c>
      <c r="F13" s="123">
        <v>5825000</v>
      </c>
      <c r="H13" s="233"/>
      <c r="I13" s="28"/>
      <c r="J13" s="28"/>
      <c r="K13" s="28"/>
      <c r="L13" s="30">
        <f>L11+L12</f>
        <v>1</v>
      </c>
      <c r="M13" s="31">
        <f>M11+M12</f>
        <v>1</v>
      </c>
    </row>
    <row r="14" spans="1:13" ht="15.75" thickBot="1" x14ac:dyDescent="0.3">
      <c r="A14" t="s">
        <v>23</v>
      </c>
      <c r="B14">
        <v>2014</v>
      </c>
      <c r="C14" t="s">
        <v>30</v>
      </c>
      <c r="D14" s="125" t="s">
        <v>19</v>
      </c>
      <c r="E14" s="125" t="s">
        <v>31</v>
      </c>
      <c r="F14" s="123">
        <v>8603478</v>
      </c>
    </row>
    <row r="15" spans="1:13" ht="18.75" x14ac:dyDescent="0.3">
      <c r="A15" t="s">
        <v>23</v>
      </c>
      <c r="B15">
        <v>2009</v>
      </c>
      <c r="C15" t="s">
        <v>32</v>
      </c>
      <c r="D15" t="s">
        <v>33</v>
      </c>
      <c r="E15" t="s">
        <v>34</v>
      </c>
      <c r="F15" s="1">
        <v>17550000</v>
      </c>
      <c r="I15" s="226" t="s">
        <v>364</v>
      </c>
      <c r="J15" s="227"/>
      <c r="K15" s="227"/>
      <c r="L15" s="227"/>
      <c r="M15" s="228"/>
    </row>
    <row r="16" spans="1:13" x14ac:dyDescent="0.25">
      <c r="A16" t="s">
        <v>23</v>
      </c>
      <c r="B16">
        <v>2010</v>
      </c>
      <c r="C16" t="s">
        <v>35</v>
      </c>
      <c r="D16" t="s">
        <v>33</v>
      </c>
      <c r="E16" t="s">
        <v>11</v>
      </c>
      <c r="F16" s="1">
        <v>8140138</v>
      </c>
      <c r="I16" s="23"/>
      <c r="J16" s="6"/>
      <c r="K16" s="5" t="s">
        <v>312</v>
      </c>
      <c r="L16" s="5" t="s">
        <v>313</v>
      </c>
      <c r="M16" s="24" t="s">
        <v>314</v>
      </c>
    </row>
    <row r="17" spans="1:13" x14ac:dyDescent="0.25">
      <c r="A17" t="s">
        <v>23</v>
      </c>
      <c r="B17">
        <v>2010</v>
      </c>
      <c r="C17" t="s">
        <v>36</v>
      </c>
      <c r="D17" t="s">
        <v>33</v>
      </c>
      <c r="E17" t="s">
        <v>31</v>
      </c>
      <c r="F17" s="1">
        <v>47457000</v>
      </c>
      <c r="I17" s="25" t="s">
        <v>315</v>
      </c>
      <c r="J17" s="6">
        <f>COUNTA(C232:C275)</f>
        <v>43</v>
      </c>
      <c r="K17" s="7">
        <f>F277</f>
        <v>1275155131</v>
      </c>
      <c r="L17" s="6"/>
      <c r="M17" s="26"/>
    </row>
    <row r="18" spans="1:13" x14ac:dyDescent="0.25">
      <c r="A18" t="s">
        <v>23</v>
      </c>
      <c r="B18">
        <v>2011</v>
      </c>
      <c r="C18" t="s">
        <v>37</v>
      </c>
      <c r="D18" t="s">
        <v>33</v>
      </c>
      <c r="E18" t="s">
        <v>9</v>
      </c>
      <c r="F18" s="1">
        <v>11798750</v>
      </c>
      <c r="I18" s="25" t="s">
        <v>316</v>
      </c>
      <c r="J18" s="6">
        <f>J17-J19</f>
        <v>32</v>
      </c>
      <c r="K18" s="7">
        <f>K17-K19</f>
        <v>1165497673</v>
      </c>
      <c r="L18" s="18">
        <f>J18/J17</f>
        <v>0.7441860465116279</v>
      </c>
      <c r="M18" s="29">
        <f>K18/K17</f>
        <v>0.91400461376491138</v>
      </c>
    </row>
    <row r="19" spans="1:13" ht="15.75" thickBot="1" x14ac:dyDescent="0.3">
      <c r="A19" t="s">
        <v>23</v>
      </c>
      <c r="B19">
        <v>2012</v>
      </c>
      <c r="C19" t="s">
        <v>38</v>
      </c>
      <c r="D19" t="s">
        <v>33</v>
      </c>
      <c r="E19" t="s">
        <v>39</v>
      </c>
      <c r="F19" s="1">
        <v>12080000</v>
      </c>
      <c r="I19" s="25" t="s">
        <v>317</v>
      </c>
      <c r="J19" s="6">
        <f>COUNTIF(D232:D275, "*Competitive Bid*")</f>
        <v>11</v>
      </c>
      <c r="K19" s="7">
        <f>F240+F241+F243+F246+F262+F264+F265+F266+F267+F273+F274</f>
        <v>109657458</v>
      </c>
      <c r="L19" s="30">
        <f>J19/J17</f>
        <v>0.2558139534883721</v>
      </c>
      <c r="M19" s="31">
        <f>K19/K17</f>
        <v>8.5995386235088594E-2</v>
      </c>
    </row>
    <row r="20" spans="1:13" ht="15.75" thickBot="1" x14ac:dyDescent="0.3">
      <c r="A20" t="s">
        <v>23</v>
      </c>
      <c r="B20">
        <v>2013</v>
      </c>
      <c r="C20" t="s">
        <v>40</v>
      </c>
      <c r="D20" t="s">
        <v>33</v>
      </c>
      <c r="E20" t="s">
        <v>31</v>
      </c>
      <c r="F20" s="1">
        <v>15878554</v>
      </c>
      <c r="I20" s="27"/>
      <c r="J20" s="28"/>
      <c r="K20" s="28"/>
      <c r="L20" s="30">
        <f>L18+L19</f>
        <v>1</v>
      </c>
      <c r="M20" s="31">
        <f>M19+M18</f>
        <v>1</v>
      </c>
    </row>
    <row r="21" spans="1:13" ht="15.75" thickBot="1" x14ac:dyDescent="0.3">
      <c r="A21" t="s">
        <v>23</v>
      </c>
      <c r="B21">
        <v>2013</v>
      </c>
      <c r="C21" t="s">
        <v>41</v>
      </c>
      <c r="D21" t="s">
        <v>33</v>
      </c>
      <c r="E21" t="s">
        <v>42</v>
      </c>
      <c r="F21" s="1">
        <v>15056821</v>
      </c>
    </row>
    <row r="22" spans="1:13" ht="18.75" x14ac:dyDescent="0.3">
      <c r="A22" t="s">
        <v>23</v>
      </c>
      <c r="B22">
        <v>2009</v>
      </c>
      <c r="C22" t="s">
        <v>43</v>
      </c>
      <c r="D22" t="s">
        <v>44</v>
      </c>
      <c r="E22" t="s">
        <v>45</v>
      </c>
      <c r="F22" s="1">
        <v>50292000</v>
      </c>
      <c r="I22" s="234" t="s">
        <v>318</v>
      </c>
      <c r="J22" s="235"/>
      <c r="K22" s="235"/>
      <c r="L22" s="235"/>
      <c r="M22" s="236"/>
    </row>
    <row r="23" spans="1:13" x14ac:dyDescent="0.25">
      <c r="A23" t="s">
        <v>47</v>
      </c>
      <c r="B23">
        <v>2008</v>
      </c>
      <c r="C23" t="s">
        <v>48</v>
      </c>
      <c r="D23" t="s">
        <v>8</v>
      </c>
      <c r="E23" t="s">
        <v>49</v>
      </c>
      <c r="F23" s="1">
        <v>18768000</v>
      </c>
      <c r="I23" s="23"/>
      <c r="J23" s="6"/>
      <c r="K23" s="5" t="s">
        <v>312</v>
      </c>
      <c r="L23" s="5" t="s">
        <v>313</v>
      </c>
      <c r="M23" s="24" t="s">
        <v>314</v>
      </c>
    </row>
    <row r="24" spans="1:13" x14ac:dyDescent="0.25">
      <c r="A24" t="s">
        <v>47</v>
      </c>
      <c r="B24">
        <v>2009</v>
      </c>
      <c r="C24" t="s">
        <v>50</v>
      </c>
      <c r="D24" t="s">
        <v>8</v>
      </c>
      <c r="E24" t="s">
        <v>49</v>
      </c>
      <c r="F24" s="1">
        <v>53950000</v>
      </c>
      <c r="I24" s="25" t="s">
        <v>315</v>
      </c>
      <c r="J24" s="6">
        <f t="shared" ref="J24:K26" si="0">J3+J10+J17</f>
        <v>262</v>
      </c>
      <c r="K24" s="7">
        <f t="shared" si="0"/>
        <v>6321003753</v>
      </c>
      <c r="L24" s="6"/>
      <c r="M24" s="26"/>
    </row>
    <row r="25" spans="1:13" x14ac:dyDescent="0.25">
      <c r="A25" t="s">
        <v>47</v>
      </c>
      <c r="B25">
        <v>2010</v>
      </c>
      <c r="C25" t="s">
        <v>51</v>
      </c>
      <c r="D25" t="s">
        <v>8</v>
      </c>
      <c r="E25" t="s">
        <v>52</v>
      </c>
      <c r="F25" s="1">
        <v>32926354</v>
      </c>
      <c r="I25" s="25" t="s">
        <v>316</v>
      </c>
      <c r="J25" s="6">
        <f t="shared" si="0"/>
        <v>220</v>
      </c>
      <c r="K25" s="7">
        <f t="shared" si="0"/>
        <v>5876820701</v>
      </c>
      <c r="L25" s="18">
        <f>J25/J24</f>
        <v>0.83969465648854957</v>
      </c>
      <c r="M25" s="29">
        <f>K25/K24</f>
        <v>0.92972903207197322</v>
      </c>
    </row>
    <row r="26" spans="1:13" ht="15.75" thickBot="1" x14ac:dyDescent="0.3">
      <c r="A26" t="s">
        <v>47</v>
      </c>
      <c r="B26">
        <v>2010</v>
      </c>
      <c r="C26" t="s">
        <v>53</v>
      </c>
      <c r="D26" t="s">
        <v>8</v>
      </c>
      <c r="E26" t="s">
        <v>49</v>
      </c>
      <c r="F26" s="1">
        <v>11394000</v>
      </c>
      <c r="I26" s="25" t="s">
        <v>317</v>
      </c>
      <c r="J26" s="6">
        <f t="shared" si="0"/>
        <v>42</v>
      </c>
      <c r="K26" s="7">
        <f t="shared" si="0"/>
        <v>444183052</v>
      </c>
      <c r="L26" s="30">
        <f>J26/J24</f>
        <v>0.16030534351145037</v>
      </c>
      <c r="M26" s="31">
        <f>K26/K24</f>
        <v>7.0270967928026798E-2</v>
      </c>
    </row>
    <row r="27" spans="1:13" ht="15.75" thickBot="1" x14ac:dyDescent="0.3">
      <c r="A27" t="s">
        <v>47</v>
      </c>
      <c r="B27">
        <v>2012</v>
      </c>
      <c r="C27" t="s">
        <v>54</v>
      </c>
      <c r="D27" t="s">
        <v>8</v>
      </c>
      <c r="E27" t="s">
        <v>9</v>
      </c>
      <c r="F27" s="1">
        <v>43577799</v>
      </c>
      <c r="I27" s="27"/>
      <c r="J27" s="28"/>
      <c r="K27" s="28"/>
      <c r="L27" s="30">
        <f>L25+L26</f>
        <v>1</v>
      </c>
      <c r="M27" s="31">
        <f>M25+M26</f>
        <v>1</v>
      </c>
    </row>
    <row r="28" spans="1:13" x14ac:dyDescent="0.25">
      <c r="A28" t="s">
        <v>47</v>
      </c>
      <c r="B28">
        <v>2012</v>
      </c>
      <c r="C28" t="s">
        <v>55</v>
      </c>
      <c r="D28" t="s">
        <v>8</v>
      </c>
      <c r="E28" t="s">
        <v>52</v>
      </c>
      <c r="F28" s="1">
        <v>32646335</v>
      </c>
    </row>
    <row r="29" spans="1:13" x14ac:dyDescent="0.25">
      <c r="A29" t="s">
        <v>47</v>
      </c>
      <c r="B29">
        <v>2012</v>
      </c>
      <c r="C29" t="s">
        <v>68</v>
      </c>
      <c r="D29" t="s">
        <v>8</v>
      </c>
      <c r="E29" t="s">
        <v>9</v>
      </c>
      <c r="F29" s="1">
        <v>7936662</v>
      </c>
    </row>
    <row r="30" spans="1:13" x14ac:dyDescent="0.25">
      <c r="A30" t="s">
        <v>47</v>
      </c>
      <c r="B30">
        <v>2013</v>
      </c>
      <c r="C30" t="s">
        <v>56</v>
      </c>
      <c r="D30" t="s">
        <v>8</v>
      </c>
      <c r="E30" t="s">
        <v>49</v>
      </c>
      <c r="F30" s="1">
        <v>38996387</v>
      </c>
    </row>
    <row r="31" spans="1:13" x14ac:dyDescent="0.25">
      <c r="A31" t="s">
        <v>47</v>
      </c>
      <c r="B31">
        <v>2014</v>
      </c>
      <c r="C31" t="s">
        <v>57</v>
      </c>
      <c r="D31" t="s">
        <v>8</v>
      </c>
      <c r="E31" t="s">
        <v>58</v>
      </c>
      <c r="F31" s="1">
        <v>42712270</v>
      </c>
    </row>
    <row r="32" spans="1:13" x14ac:dyDescent="0.25">
      <c r="A32" t="s">
        <v>47</v>
      </c>
      <c r="B32">
        <v>2014</v>
      </c>
      <c r="C32" t="s">
        <v>59</v>
      </c>
      <c r="D32" t="s">
        <v>8</v>
      </c>
      <c r="E32" t="s">
        <v>52</v>
      </c>
      <c r="F32" s="1">
        <v>48789838</v>
      </c>
    </row>
    <row r="33" spans="1:6" x14ac:dyDescent="0.25">
      <c r="A33" t="s">
        <v>47</v>
      </c>
      <c r="B33">
        <v>2008</v>
      </c>
      <c r="C33" t="s">
        <v>60</v>
      </c>
      <c r="D33" s="125" t="s">
        <v>19</v>
      </c>
      <c r="E33" s="125" t="s">
        <v>61</v>
      </c>
      <c r="F33" s="123">
        <v>8618208</v>
      </c>
    </row>
    <row r="34" spans="1:6" x14ac:dyDescent="0.25">
      <c r="A34" t="s">
        <v>47</v>
      </c>
      <c r="B34">
        <v>2010</v>
      </c>
      <c r="C34" t="s">
        <v>62</v>
      </c>
      <c r="D34" s="125" t="s">
        <v>19</v>
      </c>
      <c r="E34" s="125" t="s">
        <v>61</v>
      </c>
      <c r="F34" s="123">
        <v>36200718</v>
      </c>
    </row>
    <row r="35" spans="1:6" x14ac:dyDescent="0.25">
      <c r="A35" t="s">
        <v>47</v>
      </c>
      <c r="B35">
        <v>2010</v>
      </c>
      <c r="C35" t="s">
        <v>63</v>
      </c>
      <c r="D35" s="125" t="s">
        <v>19</v>
      </c>
      <c r="E35" s="125" t="s">
        <v>64</v>
      </c>
      <c r="F35" s="123">
        <v>7698400</v>
      </c>
    </row>
    <row r="36" spans="1:6" x14ac:dyDescent="0.25">
      <c r="A36" t="s">
        <v>73</v>
      </c>
      <c r="B36">
        <v>2008</v>
      </c>
      <c r="C36" t="s">
        <v>74</v>
      </c>
      <c r="D36" s="125" t="s">
        <v>19</v>
      </c>
      <c r="E36" s="125" t="s">
        <v>75</v>
      </c>
      <c r="F36" s="123">
        <v>12143450</v>
      </c>
    </row>
    <row r="37" spans="1:6" x14ac:dyDescent="0.25">
      <c r="A37" t="s">
        <v>73</v>
      </c>
      <c r="B37">
        <v>2009</v>
      </c>
      <c r="C37" t="s">
        <v>76</v>
      </c>
      <c r="D37" s="125" t="s">
        <v>19</v>
      </c>
      <c r="E37" s="125" t="s">
        <v>77</v>
      </c>
      <c r="F37" s="123">
        <v>16519000</v>
      </c>
    </row>
    <row r="38" spans="1:6" x14ac:dyDescent="0.25">
      <c r="A38" t="s">
        <v>73</v>
      </c>
      <c r="B38">
        <v>2013</v>
      </c>
      <c r="C38" t="s">
        <v>78</v>
      </c>
      <c r="D38" s="125" t="s">
        <v>19</v>
      </c>
      <c r="E38" s="125" t="s">
        <v>79</v>
      </c>
      <c r="F38" s="123">
        <v>6905660</v>
      </c>
    </row>
    <row r="39" spans="1:6" x14ac:dyDescent="0.25">
      <c r="A39" t="s">
        <v>73</v>
      </c>
      <c r="B39">
        <v>2013</v>
      </c>
      <c r="C39" t="s">
        <v>80</v>
      </c>
      <c r="D39" s="125" t="s">
        <v>19</v>
      </c>
      <c r="E39" s="125" t="s">
        <v>81</v>
      </c>
      <c r="F39" s="123">
        <v>12325000</v>
      </c>
    </row>
    <row r="40" spans="1:6" x14ac:dyDescent="0.25">
      <c r="A40" t="s">
        <v>73</v>
      </c>
      <c r="B40">
        <v>2013</v>
      </c>
      <c r="C40" t="s">
        <v>82</v>
      </c>
      <c r="D40" s="125" t="s">
        <v>19</v>
      </c>
      <c r="E40" s="125" t="s">
        <v>83</v>
      </c>
      <c r="F40" s="123">
        <v>7933000</v>
      </c>
    </row>
    <row r="41" spans="1:6" x14ac:dyDescent="0.25">
      <c r="A41" t="s">
        <v>89</v>
      </c>
      <c r="B41">
        <v>2010</v>
      </c>
      <c r="C41" t="s">
        <v>91</v>
      </c>
      <c r="D41" t="s">
        <v>8</v>
      </c>
      <c r="E41" t="s">
        <v>69</v>
      </c>
      <c r="F41" s="1">
        <v>37079649</v>
      </c>
    </row>
    <row r="42" spans="1:6" x14ac:dyDescent="0.25">
      <c r="A42" t="s">
        <v>89</v>
      </c>
      <c r="B42">
        <v>2010</v>
      </c>
      <c r="C42" t="s">
        <v>92</v>
      </c>
      <c r="D42" t="s">
        <v>8</v>
      </c>
      <c r="E42" t="s">
        <v>9</v>
      </c>
      <c r="F42" s="1">
        <v>38633403</v>
      </c>
    </row>
    <row r="43" spans="1:6" x14ac:dyDescent="0.25">
      <c r="A43" s="6" t="s">
        <v>89</v>
      </c>
      <c r="B43" s="6">
        <v>2013</v>
      </c>
      <c r="C43" s="6" t="s">
        <v>93</v>
      </c>
      <c r="D43" s="6" t="s">
        <v>8</v>
      </c>
      <c r="E43" s="6" t="s">
        <v>69</v>
      </c>
      <c r="F43" s="7">
        <v>37374141</v>
      </c>
    </row>
    <row r="44" spans="1:6" x14ac:dyDescent="0.25">
      <c r="A44" s="6" t="s">
        <v>94</v>
      </c>
      <c r="B44" s="6">
        <v>2011</v>
      </c>
      <c r="C44" s="6" t="s">
        <v>95</v>
      </c>
      <c r="D44" s="6" t="s">
        <v>8</v>
      </c>
      <c r="E44" s="6" t="s">
        <v>52</v>
      </c>
      <c r="F44" s="7">
        <v>14289497</v>
      </c>
    </row>
    <row r="45" spans="1:6" x14ac:dyDescent="0.25">
      <c r="A45" s="6" t="s">
        <v>94</v>
      </c>
      <c r="B45" s="6">
        <v>2013</v>
      </c>
      <c r="C45" s="6" t="s">
        <v>96</v>
      </c>
      <c r="D45" s="6" t="s">
        <v>8</v>
      </c>
      <c r="E45" s="6" t="s">
        <v>69</v>
      </c>
      <c r="F45" s="7">
        <v>13000000</v>
      </c>
    </row>
    <row r="46" spans="1:6" x14ac:dyDescent="0.25">
      <c r="A46" s="6" t="s">
        <v>94</v>
      </c>
      <c r="B46" s="6">
        <v>2014</v>
      </c>
      <c r="C46" s="6" t="s">
        <v>97</v>
      </c>
      <c r="D46" s="6" t="s">
        <v>8</v>
      </c>
      <c r="E46" s="6" t="s">
        <v>69</v>
      </c>
      <c r="F46" s="7">
        <v>6000000</v>
      </c>
    </row>
    <row r="47" spans="1:6" x14ac:dyDescent="0.25">
      <c r="A47" s="6" t="s">
        <v>94</v>
      </c>
      <c r="B47" s="6">
        <v>2014</v>
      </c>
      <c r="C47" s="6" t="s">
        <v>98</v>
      </c>
      <c r="D47" s="6" t="s">
        <v>8</v>
      </c>
      <c r="E47" s="6" t="s">
        <v>69</v>
      </c>
      <c r="F47" s="7">
        <v>42600000</v>
      </c>
    </row>
    <row r="48" spans="1:6" x14ac:dyDescent="0.25">
      <c r="A48" s="6" t="s">
        <v>94</v>
      </c>
      <c r="B48" s="6">
        <v>2008</v>
      </c>
      <c r="C48" s="6" t="s">
        <v>99</v>
      </c>
      <c r="D48" s="6" t="s">
        <v>8</v>
      </c>
      <c r="E48" s="6" t="s">
        <v>9</v>
      </c>
      <c r="F48" s="7">
        <v>51016300</v>
      </c>
    </row>
    <row r="49" spans="1:6" x14ac:dyDescent="0.25">
      <c r="A49" s="6" t="s">
        <v>94</v>
      </c>
      <c r="B49" s="6">
        <v>2012</v>
      </c>
      <c r="C49" s="6" t="s">
        <v>100</v>
      </c>
      <c r="D49" s="6" t="s">
        <v>8</v>
      </c>
      <c r="E49" s="6" t="s">
        <v>52</v>
      </c>
      <c r="F49" s="7">
        <v>17000000</v>
      </c>
    </row>
    <row r="50" spans="1:6" x14ac:dyDescent="0.25">
      <c r="A50" s="6" t="s">
        <v>94</v>
      </c>
      <c r="B50" s="6">
        <v>2012</v>
      </c>
      <c r="C50" s="6" t="s">
        <v>101</v>
      </c>
      <c r="D50" s="196" t="s">
        <v>19</v>
      </c>
      <c r="E50" s="196" t="s">
        <v>9</v>
      </c>
      <c r="F50" s="197">
        <v>9000000</v>
      </c>
    </row>
    <row r="51" spans="1:6" x14ac:dyDescent="0.25">
      <c r="A51" s="6" t="s">
        <v>104</v>
      </c>
      <c r="B51" s="6">
        <v>2010</v>
      </c>
      <c r="C51" s="6" t="s">
        <v>105</v>
      </c>
      <c r="D51" s="6" t="s">
        <v>8</v>
      </c>
      <c r="E51" s="6" t="s">
        <v>11</v>
      </c>
      <c r="F51" s="7">
        <v>35657770</v>
      </c>
    </row>
    <row r="52" spans="1:6" x14ac:dyDescent="0.25">
      <c r="A52" s="6" t="s">
        <v>104</v>
      </c>
      <c r="B52" s="6">
        <v>2012</v>
      </c>
      <c r="C52" s="6" t="s">
        <v>106</v>
      </c>
      <c r="D52" s="6" t="s">
        <v>8</v>
      </c>
      <c r="E52" s="6" t="s">
        <v>9</v>
      </c>
      <c r="F52" s="7">
        <v>40632041</v>
      </c>
    </row>
    <row r="53" spans="1:6" x14ac:dyDescent="0.25">
      <c r="A53" s="6" t="s">
        <v>104</v>
      </c>
      <c r="B53" s="6">
        <v>2013</v>
      </c>
      <c r="C53" s="6" t="s">
        <v>107</v>
      </c>
      <c r="D53" s="6" t="s">
        <v>8</v>
      </c>
      <c r="E53" s="6" t="s">
        <v>52</v>
      </c>
      <c r="F53" s="7">
        <v>27750000</v>
      </c>
    </row>
    <row r="54" spans="1:6" x14ac:dyDescent="0.25">
      <c r="A54" s="6" t="s">
        <v>104</v>
      </c>
      <c r="B54" s="6">
        <v>2014</v>
      </c>
      <c r="C54" s="6" t="s">
        <v>108</v>
      </c>
      <c r="D54" s="6" t="s">
        <v>8</v>
      </c>
      <c r="E54" s="6" t="s">
        <v>69</v>
      </c>
      <c r="F54" s="7">
        <v>40214071</v>
      </c>
    </row>
    <row r="55" spans="1:6" x14ac:dyDescent="0.25">
      <c r="A55" s="6" t="s">
        <v>104</v>
      </c>
      <c r="B55" s="6">
        <v>2011</v>
      </c>
      <c r="C55" s="6" t="s">
        <v>109</v>
      </c>
      <c r="D55" s="196" t="s">
        <v>19</v>
      </c>
      <c r="E55" s="196" t="s">
        <v>110</v>
      </c>
      <c r="F55" s="197">
        <v>10280000</v>
      </c>
    </row>
    <row r="56" spans="1:6" x14ac:dyDescent="0.25">
      <c r="A56" s="6" t="s">
        <v>104</v>
      </c>
      <c r="B56" s="6">
        <v>2012</v>
      </c>
      <c r="C56" s="6" t="s">
        <v>111</v>
      </c>
      <c r="D56" s="196" t="s">
        <v>19</v>
      </c>
      <c r="E56" s="196" t="s">
        <v>112</v>
      </c>
      <c r="F56" s="197">
        <v>7800000</v>
      </c>
    </row>
    <row r="57" spans="1:6" x14ac:dyDescent="0.25">
      <c r="A57" s="6" t="s">
        <v>104</v>
      </c>
      <c r="B57" s="6">
        <v>2014</v>
      </c>
      <c r="C57" s="6" t="s">
        <v>113</v>
      </c>
      <c r="D57" s="196" t="s">
        <v>19</v>
      </c>
      <c r="E57" s="196" t="s">
        <v>112</v>
      </c>
      <c r="F57" s="197">
        <v>23275715</v>
      </c>
    </row>
    <row r="58" spans="1:6" x14ac:dyDescent="0.25">
      <c r="A58" s="6" t="s">
        <v>104</v>
      </c>
      <c r="B58" s="6">
        <v>2014</v>
      </c>
      <c r="C58" s="6" t="s">
        <v>114</v>
      </c>
      <c r="D58" s="196" t="s">
        <v>19</v>
      </c>
      <c r="E58" s="196" t="s">
        <v>115</v>
      </c>
      <c r="F58" s="197">
        <v>6424000</v>
      </c>
    </row>
    <row r="59" spans="1:6" x14ac:dyDescent="0.25">
      <c r="A59" s="6" t="s">
        <v>104</v>
      </c>
      <c r="B59" s="6">
        <v>2010</v>
      </c>
      <c r="C59" s="6" t="s">
        <v>116</v>
      </c>
      <c r="D59" s="6" t="s">
        <v>33</v>
      </c>
      <c r="E59" s="6" t="s">
        <v>110</v>
      </c>
      <c r="F59" s="7">
        <v>8481000</v>
      </c>
    </row>
    <row r="60" spans="1:6" x14ac:dyDescent="0.25">
      <c r="A60" s="6" t="s">
        <v>119</v>
      </c>
      <c r="B60" s="6">
        <v>2011</v>
      </c>
      <c r="C60" s="6" t="s">
        <v>120</v>
      </c>
      <c r="D60" s="6" t="s">
        <v>121</v>
      </c>
      <c r="E60" s="6" t="s">
        <v>58</v>
      </c>
      <c r="F60" s="7">
        <v>13631733</v>
      </c>
    </row>
    <row r="61" spans="1:6" x14ac:dyDescent="0.25">
      <c r="A61" s="6" t="s">
        <v>119</v>
      </c>
      <c r="B61" s="6">
        <v>2013</v>
      </c>
      <c r="C61" s="6" t="s">
        <v>122</v>
      </c>
      <c r="D61" s="6" t="s">
        <v>121</v>
      </c>
      <c r="E61" s="6" t="s">
        <v>9</v>
      </c>
      <c r="F61" s="7">
        <v>26938797</v>
      </c>
    </row>
    <row r="62" spans="1:6" x14ac:dyDescent="0.25">
      <c r="A62" s="6" t="s">
        <v>119</v>
      </c>
      <c r="B62" s="6">
        <v>2014</v>
      </c>
      <c r="C62" s="6" t="s">
        <v>123</v>
      </c>
      <c r="D62" s="6" t="s">
        <v>121</v>
      </c>
      <c r="E62" s="6" t="s">
        <v>9</v>
      </c>
      <c r="F62" s="7">
        <v>25698255</v>
      </c>
    </row>
    <row r="63" spans="1:6" x14ac:dyDescent="0.25">
      <c r="A63" s="6" t="s">
        <v>119</v>
      </c>
      <c r="B63" s="6">
        <v>2012</v>
      </c>
      <c r="C63" s="6" t="s">
        <v>124</v>
      </c>
      <c r="D63" s="196" t="s">
        <v>19</v>
      </c>
      <c r="E63" s="196" t="s">
        <v>125</v>
      </c>
      <c r="F63" s="197">
        <v>6985000</v>
      </c>
    </row>
    <row r="64" spans="1:6" x14ac:dyDescent="0.25">
      <c r="A64" s="6" t="s">
        <v>119</v>
      </c>
      <c r="B64" s="6">
        <v>2009</v>
      </c>
      <c r="C64" s="6" t="s">
        <v>126</v>
      </c>
      <c r="D64" s="196" t="s">
        <v>19</v>
      </c>
      <c r="E64" s="196" t="s">
        <v>127</v>
      </c>
      <c r="F64" s="197">
        <v>11146300</v>
      </c>
    </row>
    <row r="65" spans="1:6" x14ac:dyDescent="0.25">
      <c r="A65" s="6" t="s">
        <v>119</v>
      </c>
      <c r="B65" s="6">
        <v>2010</v>
      </c>
      <c r="C65" s="6" t="s">
        <v>128</v>
      </c>
      <c r="D65" s="6" t="s">
        <v>44</v>
      </c>
      <c r="E65" s="6" t="s">
        <v>49</v>
      </c>
      <c r="F65" s="7">
        <v>44642328</v>
      </c>
    </row>
    <row r="66" spans="1:6" x14ac:dyDescent="0.25">
      <c r="A66" s="6" t="s">
        <v>129</v>
      </c>
      <c r="B66" s="6">
        <v>2008</v>
      </c>
      <c r="C66" s="6" t="s">
        <v>130</v>
      </c>
      <c r="D66" s="6" t="s">
        <v>8</v>
      </c>
      <c r="E66" s="6" t="s">
        <v>136</v>
      </c>
      <c r="F66" s="7">
        <v>5424879</v>
      </c>
    </row>
    <row r="67" spans="1:6" x14ac:dyDescent="0.25">
      <c r="A67" s="6" t="s">
        <v>129</v>
      </c>
      <c r="B67" s="6">
        <v>2008</v>
      </c>
      <c r="C67" s="6" t="s">
        <v>131</v>
      </c>
      <c r="D67" s="6" t="s">
        <v>8</v>
      </c>
      <c r="E67" s="6" t="s">
        <v>136</v>
      </c>
      <c r="F67" s="7">
        <v>6059233</v>
      </c>
    </row>
    <row r="68" spans="1:6" x14ac:dyDescent="0.25">
      <c r="A68" s="6" t="s">
        <v>129</v>
      </c>
      <c r="B68" s="6">
        <v>2009</v>
      </c>
      <c r="C68" s="6" t="s">
        <v>139</v>
      </c>
      <c r="D68" s="6" t="s">
        <v>8</v>
      </c>
      <c r="E68" s="6" t="s">
        <v>9</v>
      </c>
      <c r="F68" s="7">
        <v>8570989</v>
      </c>
    </row>
    <row r="69" spans="1:6" x14ac:dyDescent="0.25">
      <c r="A69" s="6" t="s">
        <v>129</v>
      </c>
      <c r="B69" s="6">
        <v>2009</v>
      </c>
      <c r="C69" s="6" t="s">
        <v>132</v>
      </c>
      <c r="D69" s="6" t="s">
        <v>8</v>
      </c>
      <c r="E69" s="6" t="s">
        <v>9</v>
      </c>
      <c r="F69" s="7">
        <v>5629170</v>
      </c>
    </row>
    <row r="70" spans="1:6" x14ac:dyDescent="0.25">
      <c r="A70" s="6" t="s">
        <v>129</v>
      </c>
      <c r="B70" s="6">
        <v>2010</v>
      </c>
      <c r="C70" s="6" t="s">
        <v>133</v>
      </c>
      <c r="D70" s="6" t="s">
        <v>8</v>
      </c>
      <c r="E70" s="6" t="s">
        <v>134</v>
      </c>
      <c r="F70" s="7">
        <v>13352272</v>
      </c>
    </row>
    <row r="71" spans="1:6" x14ac:dyDescent="0.25">
      <c r="A71" s="6" t="s">
        <v>129</v>
      </c>
      <c r="B71" s="6">
        <v>2010</v>
      </c>
      <c r="C71" s="6" t="s">
        <v>135</v>
      </c>
      <c r="D71" s="6" t="s">
        <v>8</v>
      </c>
      <c r="E71" s="6" t="s">
        <v>9</v>
      </c>
      <c r="F71" s="7">
        <v>8085128</v>
      </c>
    </row>
    <row r="72" spans="1:6" x14ac:dyDescent="0.25">
      <c r="A72" s="6" t="s">
        <v>129</v>
      </c>
      <c r="B72" s="6">
        <v>2010</v>
      </c>
      <c r="C72" s="6" t="s">
        <v>137</v>
      </c>
      <c r="D72" s="6" t="s">
        <v>8</v>
      </c>
      <c r="E72" s="6" t="s">
        <v>136</v>
      </c>
      <c r="F72" s="7">
        <v>5822481</v>
      </c>
    </row>
    <row r="73" spans="1:6" x14ac:dyDescent="0.25">
      <c r="A73" s="6" t="s">
        <v>129</v>
      </c>
      <c r="B73" s="6">
        <v>2010</v>
      </c>
      <c r="C73" s="6" t="s">
        <v>138</v>
      </c>
      <c r="D73" s="6" t="s">
        <v>8</v>
      </c>
      <c r="E73" s="6" t="s">
        <v>9</v>
      </c>
      <c r="F73" s="7">
        <v>6208697</v>
      </c>
    </row>
    <row r="74" spans="1:6" x14ac:dyDescent="0.25">
      <c r="A74" s="6" t="s">
        <v>129</v>
      </c>
      <c r="B74" s="6">
        <v>2010</v>
      </c>
      <c r="C74" s="6" t="s">
        <v>140</v>
      </c>
      <c r="D74" s="6" t="s">
        <v>8</v>
      </c>
      <c r="E74" s="6" t="s">
        <v>141</v>
      </c>
      <c r="F74" s="7">
        <v>19198486</v>
      </c>
    </row>
    <row r="75" spans="1:6" x14ac:dyDescent="0.25">
      <c r="A75" s="6" t="s">
        <v>129</v>
      </c>
      <c r="B75" s="6">
        <v>2011</v>
      </c>
      <c r="C75" s="6" t="s">
        <v>142</v>
      </c>
      <c r="D75" s="6" t="s">
        <v>8</v>
      </c>
      <c r="E75" s="6" t="s">
        <v>143</v>
      </c>
      <c r="F75" s="7">
        <v>42436184</v>
      </c>
    </row>
    <row r="76" spans="1:6" x14ac:dyDescent="0.25">
      <c r="A76" s="6" t="s">
        <v>129</v>
      </c>
      <c r="B76" s="6">
        <v>2011</v>
      </c>
      <c r="C76" s="6" t="s">
        <v>144</v>
      </c>
      <c r="D76" s="6" t="s">
        <v>8</v>
      </c>
      <c r="E76" s="6" t="s">
        <v>61</v>
      </c>
      <c r="F76" s="7">
        <v>7543056</v>
      </c>
    </row>
    <row r="77" spans="1:6" x14ac:dyDescent="0.25">
      <c r="A77" s="6" t="s">
        <v>129</v>
      </c>
      <c r="B77" s="6">
        <v>2012</v>
      </c>
      <c r="C77" s="6" t="s">
        <v>145</v>
      </c>
      <c r="D77" s="6" t="s">
        <v>8</v>
      </c>
      <c r="E77" s="6" t="s">
        <v>146</v>
      </c>
      <c r="F77" s="7">
        <v>9134220</v>
      </c>
    </row>
    <row r="78" spans="1:6" x14ac:dyDescent="0.25">
      <c r="A78" s="6" t="s">
        <v>129</v>
      </c>
      <c r="B78" s="6">
        <v>2012</v>
      </c>
      <c r="C78" s="6" t="s">
        <v>147</v>
      </c>
      <c r="D78" s="6" t="s">
        <v>8</v>
      </c>
      <c r="E78" s="6" t="s">
        <v>146</v>
      </c>
      <c r="F78" s="7">
        <v>11307704</v>
      </c>
    </row>
    <row r="79" spans="1:6" x14ac:dyDescent="0.25">
      <c r="A79" s="6" t="s">
        <v>129</v>
      </c>
      <c r="B79" s="6">
        <v>2013</v>
      </c>
      <c r="C79" s="6" t="s">
        <v>148</v>
      </c>
      <c r="D79" s="6" t="s">
        <v>8</v>
      </c>
      <c r="E79" s="6" t="s">
        <v>49</v>
      </c>
      <c r="F79" s="7">
        <v>17418193</v>
      </c>
    </row>
    <row r="80" spans="1:6" x14ac:dyDescent="0.25">
      <c r="A80" s="6" t="s">
        <v>129</v>
      </c>
      <c r="B80" s="6">
        <v>2014</v>
      </c>
      <c r="C80" s="6" t="s">
        <v>149</v>
      </c>
      <c r="D80" s="6" t="s">
        <v>8</v>
      </c>
      <c r="E80" s="6" t="s">
        <v>150</v>
      </c>
      <c r="F80" s="7">
        <v>7940472</v>
      </c>
    </row>
    <row r="81" spans="1:6" x14ac:dyDescent="0.25">
      <c r="A81" s="6" t="s">
        <v>129</v>
      </c>
      <c r="B81" s="6">
        <v>2014</v>
      </c>
      <c r="C81" s="6" t="s">
        <v>151</v>
      </c>
      <c r="D81" s="6" t="s">
        <v>8</v>
      </c>
      <c r="E81" s="6" t="s">
        <v>11</v>
      </c>
      <c r="F81" s="7">
        <v>7995068</v>
      </c>
    </row>
    <row r="82" spans="1:6" x14ac:dyDescent="0.25">
      <c r="A82" s="6" t="s">
        <v>129</v>
      </c>
      <c r="B82" s="6">
        <v>2014</v>
      </c>
      <c r="C82" s="6" t="s">
        <v>152</v>
      </c>
      <c r="D82" s="6" t="s">
        <v>8</v>
      </c>
      <c r="E82" s="6" t="s">
        <v>11</v>
      </c>
      <c r="F82" s="7">
        <v>7151160</v>
      </c>
    </row>
    <row r="83" spans="1:6" x14ac:dyDescent="0.25">
      <c r="A83" s="6" t="s">
        <v>129</v>
      </c>
      <c r="B83" s="6">
        <v>2014</v>
      </c>
      <c r="C83" s="6" t="s">
        <v>153</v>
      </c>
      <c r="D83" s="6" t="s">
        <v>8</v>
      </c>
      <c r="E83" s="6" t="s">
        <v>11</v>
      </c>
      <c r="F83" s="7">
        <v>12565643</v>
      </c>
    </row>
    <row r="84" spans="1:6" x14ac:dyDescent="0.25">
      <c r="A84" s="6" t="s">
        <v>129</v>
      </c>
      <c r="B84" s="6">
        <v>2014</v>
      </c>
      <c r="C84" s="6" t="s">
        <v>154</v>
      </c>
      <c r="D84" s="6" t="s">
        <v>8</v>
      </c>
      <c r="E84" s="6" t="s">
        <v>49</v>
      </c>
      <c r="F84" s="7">
        <v>20687149</v>
      </c>
    </row>
    <row r="85" spans="1:6" x14ac:dyDescent="0.25">
      <c r="A85" s="6" t="s">
        <v>129</v>
      </c>
      <c r="B85" s="6">
        <v>2012</v>
      </c>
      <c r="C85" s="6" t="s">
        <v>155</v>
      </c>
      <c r="D85" s="6" t="s">
        <v>8</v>
      </c>
      <c r="E85" s="6" t="s">
        <v>143</v>
      </c>
      <c r="F85" s="7">
        <v>5238422</v>
      </c>
    </row>
    <row r="86" spans="1:6" x14ac:dyDescent="0.25">
      <c r="A86" s="6" t="s">
        <v>129</v>
      </c>
      <c r="B86" s="6">
        <v>2012</v>
      </c>
      <c r="C86" s="6" t="s">
        <v>156</v>
      </c>
      <c r="D86" s="6" t="s">
        <v>8</v>
      </c>
      <c r="E86" s="6" t="s">
        <v>49</v>
      </c>
      <c r="F86" s="7">
        <v>8457224</v>
      </c>
    </row>
    <row r="87" spans="1:6" x14ac:dyDescent="0.25">
      <c r="A87" s="6" t="s">
        <v>129</v>
      </c>
      <c r="B87" s="6">
        <v>2012</v>
      </c>
      <c r="C87" s="6" t="s">
        <v>157</v>
      </c>
      <c r="D87" s="6" t="s">
        <v>8</v>
      </c>
      <c r="E87" s="6" t="s">
        <v>49</v>
      </c>
      <c r="F87" s="7">
        <v>11826727</v>
      </c>
    </row>
    <row r="88" spans="1:6" x14ac:dyDescent="0.25">
      <c r="A88" s="6" t="s">
        <v>129</v>
      </c>
      <c r="B88" s="6">
        <v>2013</v>
      </c>
      <c r="C88" s="6" t="s">
        <v>158</v>
      </c>
      <c r="D88" s="6" t="s">
        <v>8</v>
      </c>
      <c r="E88" s="6" t="s">
        <v>134</v>
      </c>
      <c r="F88" s="7">
        <v>22774649</v>
      </c>
    </row>
    <row r="89" spans="1:6" x14ac:dyDescent="0.25">
      <c r="A89" s="6" t="s">
        <v>129</v>
      </c>
      <c r="B89" s="6">
        <v>2008</v>
      </c>
      <c r="C89" s="6" t="s">
        <v>159</v>
      </c>
      <c r="D89" s="6" t="s">
        <v>8</v>
      </c>
      <c r="E89" s="6" t="s">
        <v>160</v>
      </c>
      <c r="F89" s="7">
        <v>6958920</v>
      </c>
    </row>
    <row r="90" spans="1:6" x14ac:dyDescent="0.25">
      <c r="A90" s="6" t="s">
        <v>129</v>
      </c>
      <c r="B90" s="6">
        <v>2008</v>
      </c>
      <c r="C90" s="6" t="s">
        <v>161</v>
      </c>
      <c r="D90" s="6" t="s">
        <v>8</v>
      </c>
      <c r="E90" s="6" t="s">
        <v>134</v>
      </c>
      <c r="F90" s="7">
        <v>6387770</v>
      </c>
    </row>
    <row r="91" spans="1:6" x14ac:dyDescent="0.25">
      <c r="A91" s="6" t="s">
        <v>129</v>
      </c>
      <c r="B91" s="6">
        <v>2008</v>
      </c>
      <c r="C91" s="6" t="s">
        <v>162</v>
      </c>
      <c r="D91" s="6" t="s">
        <v>8</v>
      </c>
      <c r="E91" s="6" t="s">
        <v>49</v>
      </c>
      <c r="F91" s="7">
        <v>25897000</v>
      </c>
    </row>
    <row r="92" spans="1:6" x14ac:dyDescent="0.25">
      <c r="A92" s="6" t="s">
        <v>129</v>
      </c>
      <c r="B92" s="6">
        <v>2008</v>
      </c>
      <c r="C92" s="6" t="s">
        <v>163</v>
      </c>
      <c r="D92" s="6" t="s">
        <v>8</v>
      </c>
      <c r="E92" s="6" t="s">
        <v>164</v>
      </c>
      <c r="F92" s="7">
        <v>7542100</v>
      </c>
    </row>
    <row r="93" spans="1:6" x14ac:dyDescent="0.25">
      <c r="A93" s="6" t="s">
        <v>129</v>
      </c>
      <c r="B93" s="6">
        <v>2008</v>
      </c>
      <c r="C93" s="6" t="s">
        <v>165</v>
      </c>
      <c r="D93" s="6" t="s">
        <v>8</v>
      </c>
      <c r="E93" s="6" t="s">
        <v>166</v>
      </c>
      <c r="F93" s="7">
        <v>5775000</v>
      </c>
    </row>
    <row r="94" spans="1:6" x14ac:dyDescent="0.25">
      <c r="A94" s="6" t="s">
        <v>129</v>
      </c>
      <c r="B94" s="6">
        <v>2008</v>
      </c>
      <c r="C94" s="6" t="s">
        <v>176</v>
      </c>
      <c r="D94" s="6" t="s">
        <v>8</v>
      </c>
      <c r="E94" s="6" t="s">
        <v>9</v>
      </c>
      <c r="F94" s="7">
        <v>5879274</v>
      </c>
    </row>
    <row r="95" spans="1:6" x14ac:dyDescent="0.25">
      <c r="A95" s="6" t="s">
        <v>129</v>
      </c>
      <c r="B95" s="6">
        <v>2008</v>
      </c>
      <c r="C95" s="6" t="s">
        <v>167</v>
      </c>
      <c r="D95" s="6" t="s">
        <v>8</v>
      </c>
      <c r="E95" s="6" t="s">
        <v>9</v>
      </c>
      <c r="F95" s="7">
        <v>6568767</v>
      </c>
    </row>
    <row r="96" spans="1:6" x14ac:dyDescent="0.25">
      <c r="A96" s="6" t="s">
        <v>129</v>
      </c>
      <c r="B96" s="6">
        <v>2008</v>
      </c>
      <c r="C96" s="6" t="s">
        <v>168</v>
      </c>
      <c r="D96" s="6" t="s">
        <v>8</v>
      </c>
      <c r="E96" s="6" t="s">
        <v>136</v>
      </c>
      <c r="F96" s="7">
        <v>8173387</v>
      </c>
    </row>
    <row r="97" spans="1:6" x14ac:dyDescent="0.25">
      <c r="A97" s="6" t="s">
        <v>129</v>
      </c>
      <c r="B97" s="6">
        <v>2008</v>
      </c>
      <c r="C97" s="6" t="s">
        <v>169</v>
      </c>
      <c r="D97" s="6" t="s">
        <v>8</v>
      </c>
      <c r="E97" s="6" t="s">
        <v>150</v>
      </c>
      <c r="F97" s="7">
        <v>6321025</v>
      </c>
    </row>
    <row r="98" spans="1:6" x14ac:dyDescent="0.25">
      <c r="A98" s="6" t="s">
        <v>129</v>
      </c>
      <c r="B98" s="6">
        <v>2009</v>
      </c>
      <c r="C98" s="6" t="s">
        <v>170</v>
      </c>
      <c r="D98" s="6" t="s">
        <v>8</v>
      </c>
      <c r="E98" s="6" t="s">
        <v>171</v>
      </c>
      <c r="F98" s="7">
        <v>10833637</v>
      </c>
    </row>
    <row r="99" spans="1:6" x14ac:dyDescent="0.25">
      <c r="A99" s="6" t="s">
        <v>129</v>
      </c>
      <c r="B99" s="6">
        <v>2009</v>
      </c>
      <c r="C99" s="6" t="s">
        <v>172</v>
      </c>
      <c r="D99" s="6" t="s">
        <v>8</v>
      </c>
      <c r="E99" s="6" t="s">
        <v>173</v>
      </c>
      <c r="F99" s="7">
        <v>10413942</v>
      </c>
    </row>
    <row r="100" spans="1:6" x14ac:dyDescent="0.25">
      <c r="A100" s="6" t="s">
        <v>129</v>
      </c>
      <c r="B100" s="6">
        <v>2009</v>
      </c>
      <c r="C100" s="6" t="s">
        <v>174</v>
      </c>
      <c r="D100" s="6" t="s">
        <v>8</v>
      </c>
      <c r="E100" s="6" t="s">
        <v>9</v>
      </c>
      <c r="F100" s="7">
        <v>13624746</v>
      </c>
    </row>
    <row r="101" spans="1:6" x14ac:dyDescent="0.25">
      <c r="A101" s="6" t="s">
        <v>129</v>
      </c>
      <c r="B101" s="6">
        <v>2009</v>
      </c>
      <c r="C101" s="6" t="s">
        <v>175</v>
      </c>
      <c r="D101" s="6" t="s">
        <v>8</v>
      </c>
      <c r="E101" s="6" t="s">
        <v>9</v>
      </c>
      <c r="F101" s="7">
        <v>9180208</v>
      </c>
    </row>
    <row r="102" spans="1:6" x14ac:dyDescent="0.25">
      <c r="A102" s="6" t="s">
        <v>129</v>
      </c>
      <c r="B102" s="6">
        <v>2010</v>
      </c>
      <c r="C102" s="6" t="s">
        <v>177</v>
      </c>
      <c r="D102" s="196" t="s">
        <v>19</v>
      </c>
      <c r="E102" s="196" t="s">
        <v>178</v>
      </c>
      <c r="F102" s="197">
        <v>6962228</v>
      </c>
    </row>
    <row r="103" spans="1:6" x14ac:dyDescent="0.25">
      <c r="A103" s="6" t="s">
        <v>129</v>
      </c>
      <c r="B103" s="6">
        <v>2009</v>
      </c>
      <c r="C103" s="6" t="s">
        <v>179</v>
      </c>
      <c r="D103" s="6" t="s">
        <v>33</v>
      </c>
      <c r="E103" s="6" t="s">
        <v>9</v>
      </c>
      <c r="F103" s="7">
        <v>12511436</v>
      </c>
    </row>
    <row r="104" spans="1:6" x14ac:dyDescent="0.25">
      <c r="A104" s="6" t="s">
        <v>129</v>
      </c>
      <c r="B104" s="6">
        <v>2009</v>
      </c>
      <c r="C104" s="6" t="s">
        <v>180</v>
      </c>
      <c r="D104" s="6" t="s">
        <v>33</v>
      </c>
      <c r="E104" s="6" t="s">
        <v>9</v>
      </c>
      <c r="F104" s="7">
        <v>10759429</v>
      </c>
    </row>
    <row r="105" spans="1:6" x14ac:dyDescent="0.25">
      <c r="A105" s="6" t="s">
        <v>129</v>
      </c>
      <c r="B105" s="6">
        <v>2010</v>
      </c>
      <c r="C105" s="6" t="s">
        <v>181</v>
      </c>
      <c r="D105" s="6" t="s">
        <v>33</v>
      </c>
      <c r="E105" s="6" t="s">
        <v>9</v>
      </c>
      <c r="F105" s="7">
        <v>26667697</v>
      </c>
    </row>
    <row r="106" spans="1:6" x14ac:dyDescent="0.25">
      <c r="A106" s="6" t="s">
        <v>129</v>
      </c>
      <c r="B106" s="6">
        <v>2011</v>
      </c>
      <c r="C106" s="6" t="s">
        <v>182</v>
      </c>
      <c r="D106" s="6" t="s">
        <v>33</v>
      </c>
      <c r="E106" s="6" t="s">
        <v>9</v>
      </c>
      <c r="F106" s="7">
        <v>19078457</v>
      </c>
    </row>
    <row r="107" spans="1:6" x14ac:dyDescent="0.25">
      <c r="A107" s="6" t="s">
        <v>129</v>
      </c>
      <c r="B107" s="6">
        <v>2011</v>
      </c>
      <c r="C107" s="6" t="s">
        <v>183</v>
      </c>
      <c r="D107" s="6" t="s">
        <v>184</v>
      </c>
      <c r="E107" s="6" t="s">
        <v>185</v>
      </c>
      <c r="F107" s="7">
        <v>8080574</v>
      </c>
    </row>
    <row r="108" spans="1:6" x14ac:dyDescent="0.25">
      <c r="A108" s="6" t="s">
        <v>191</v>
      </c>
      <c r="B108" s="6">
        <v>2008</v>
      </c>
      <c r="C108" s="6" t="s">
        <v>102</v>
      </c>
      <c r="D108" s="6" t="s">
        <v>8</v>
      </c>
      <c r="E108" s="6" t="s">
        <v>11</v>
      </c>
      <c r="F108" s="7">
        <v>16190706</v>
      </c>
    </row>
    <row r="109" spans="1:6" x14ac:dyDescent="0.25">
      <c r="A109" s="6" t="s">
        <v>191</v>
      </c>
      <c r="B109" s="6">
        <v>2009</v>
      </c>
      <c r="C109" s="6" t="s">
        <v>192</v>
      </c>
      <c r="D109" s="6" t="s">
        <v>8</v>
      </c>
      <c r="E109" s="6" t="s">
        <v>143</v>
      </c>
      <c r="F109" s="7">
        <v>50388670</v>
      </c>
    </row>
    <row r="110" spans="1:6" x14ac:dyDescent="0.25">
      <c r="A110" s="6" t="s">
        <v>191</v>
      </c>
      <c r="B110" s="6">
        <v>2009</v>
      </c>
      <c r="C110" s="6" t="s">
        <v>193</v>
      </c>
      <c r="D110" s="6" t="s">
        <v>8</v>
      </c>
      <c r="E110" s="6" t="s">
        <v>52</v>
      </c>
      <c r="F110" s="7">
        <v>24134503</v>
      </c>
    </row>
    <row r="111" spans="1:6" x14ac:dyDescent="0.25">
      <c r="A111" s="6" t="s">
        <v>191</v>
      </c>
      <c r="B111" s="6">
        <v>2009</v>
      </c>
      <c r="C111" s="6" t="s">
        <v>194</v>
      </c>
      <c r="D111" s="6" t="s">
        <v>8</v>
      </c>
      <c r="E111" s="6" t="s">
        <v>11</v>
      </c>
      <c r="F111" s="7">
        <v>8360843</v>
      </c>
    </row>
    <row r="112" spans="1:6" x14ac:dyDescent="0.25">
      <c r="A112" s="6" t="s">
        <v>191</v>
      </c>
      <c r="B112" s="6">
        <v>2010</v>
      </c>
      <c r="C112" s="6" t="s">
        <v>195</v>
      </c>
      <c r="D112" s="6" t="s">
        <v>8</v>
      </c>
      <c r="E112" s="6" t="s">
        <v>196</v>
      </c>
      <c r="F112" s="7">
        <v>7052618</v>
      </c>
    </row>
    <row r="113" spans="1:6" x14ac:dyDescent="0.25">
      <c r="A113" s="6" t="s">
        <v>191</v>
      </c>
      <c r="B113" s="6">
        <v>2010</v>
      </c>
      <c r="C113" s="6" t="s">
        <v>197</v>
      </c>
      <c r="D113" s="6" t="s">
        <v>8</v>
      </c>
      <c r="E113" s="6" t="s">
        <v>75</v>
      </c>
      <c r="F113" s="7">
        <v>6648316</v>
      </c>
    </row>
    <row r="114" spans="1:6" x14ac:dyDescent="0.25">
      <c r="A114" s="6" t="s">
        <v>191</v>
      </c>
      <c r="B114" s="6">
        <v>2011</v>
      </c>
      <c r="C114" s="6" t="s">
        <v>198</v>
      </c>
      <c r="D114" s="6" t="s">
        <v>8</v>
      </c>
      <c r="E114" s="6" t="s">
        <v>178</v>
      </c>
      <c r="F114" s="7">
        <v>71990000</v>
      </c>
    </row>
    <row r="115" spans="1:6" x14ac:dyDescent="0.25">
      <c r="A115" s="6" t="s">
        <v>191</v>
      </c>
      <c r="B115" s="6">
        <v>2011</v>
      </c>
      <c r="C115" s="6" t="s">
        <v>199</v>
      </c>
      <c r="D115" s="6" t="s">
        <v>8</v>
      </c>
      <c r="E115" s="6" t="s">
        <v>52</v>
      </c>
      <c r="F115" s="7">
        <v>33376000</v>
      </c>
    </row>
    <row r="116" spans="1:6" x14ac:dyDescent="0.25">
      <c r="A116" s="6" t="s">
        <v>191</v>
      </c>
      <c r="B116" s="6">
        <v>2011</v>
      </c>
      <c r="C116" s="6" t="s">
        <v>200</v>
      </c>
      <c r="D116" s="6" t="s">
        <v>8</v>
      </c>
      <c r="E116" s="6" t="s">
        <v>75</v>
      </c>
      <c r="F116" s="7">
        <v>5246503</v>
      </c>
    </row>
    <row r="117" spans="1:6" x14ac:dyDescent="0.25">
      <c r="A117" s="6" t="s">
        <v>191</v>
      </c>
      <c r="B117" s="6">
        <v>2011</v>
      </c>
      <c r="C117" s="6" t="s">
        <v>201</v>
      </c>
      <c r="D117" s="6" t="s">
        <v>8</v>
      </c>
      <c r="E117" s="6" t="s">
        <v>9</v>
      </c>
      <c r="F117" s="7">
        <v>9500000</v>
      </c>
    </row>
    <row r="118" spans="1:6" x14ac:dyDescent="0.25">
      <c r="A118" s="6" t="s">
        <v>191</v>
      </c>
      <c r="B118" s="6">
        <v>2011</v>
      </c>
      <c r="C118" s="6" t="s">
        <v>202</v>
      </c>
      <c r="D118" s="6" t="s">
        <v>8</v>
      </c>
      <c r="E118" s="6" t="s">
        <v>146</v>
      </c>
      <c r="F118" s="7">
        <v>66358823</v>
      </c>
    </row>
    <row r="119" spans="1:6" x14ac:dyDescent="0.25">
      <c r="A119" s="6" t="s">
        <v>191</v>
      </c>
      <c r="B119" s="6">
        <v>2011</v>
      </c>
      <c r="C119" s="6" t="s">
        <v>203</v>
      </c>
      <c r="D119" s="6" t="s">
        <v>8</v>
      </c>
      <c r="E119" s="6" t="s">
        <v>52</v>
      </c>
      <c r="F119" s="7">
        <v>42084845</v>
      </c>
    </row>
    <row r="120" spans="1:6" x14ac:dyDescent="0.25">
      <c r="A120" s="6" t="s">
        <v>191</v>
      </c>
      <c r="B120" s="6">
        <v>2012</v>
      </c>
      <c r="C120" s="6" t="s">
        <v>204</v>
      </c>
      <c r="D120" s="6" t="s">
        <v>8</v>
      </c>
      <c r="E120" s="6" t="s">
        <v>143</v>
      </c>
      <c r="F120" s="7">
        <v>23879669</v>
      </c>
    </row>
    <row r="121" spans="1:6" x14ac:dyDescent="0.25">
      <c r="A121" s="6" t="s">
        <v>191</v>
      </c>
      <c r="B121" s="6">
        <v>2012</v>
      </c>
      <c r="C121" s="6" t="s">
        <v>205</v>
      </c>
      <c r="D121" s="6" t="s">
        <v>8</v>
      </c>
      <c r="E121" s="6" t="s">
        <v>11</v>
      </c>
      <c r="F121" s="7">
        <v>15382088</v>
      </c>
    </row>
    <row r="122" spans="1:6" x14ac:dyDescent="0.25">
      <c r="A122" s="6" t="s">
        <v>191</v>
      </c>
      <c r="B122" s="6">
        <v>2014</v>
      </c>
      <c r="C122" s="6" t="s">
        <v>206</v>
      </c>
      <c r="D122" s="6" t="s">
        <v>8</v>
      </c>
      <c r="E122" s="6" t="s">
        <v>143</v>
      </c>
      <c r="F122" s="7">
        <v>69704066</v>
      </c>
    </row>
    <row r="123" spans="1:6" x14ac:dyDescent="0.25">
      <c r="A123" s="6" t="s">
        <v>191</v>
      </c>
      <c r="B123" s="6">
        <v>2008</v>
      </c>
      <c r="C123" s="6" t="s">
        <v>207</v>
      </c>
      <c r="D123" s="196" t="s">
        <v>19</v>
      </c>
      <c r="E123" s="196" t="s">
        <v>208</v>
      </c>
      <c r="F123" s="197">
        <v>11559955</v>
      </c>
    </row>
    <row r="124" spans="1:6" x14ac:dyDescent="0.25">
      <c r="A124" s="6" t="s">
        <v>191</v>
      </c>
      <c r="B124" s="6">
        <v>2008</v>
      </c>
      <c r="C124" s="6" t="s">
        <v>209</v>
      </c>
      <c r="D124" s="6" t="s">
        <v>33</v>
      </c>
      <c r="E124" s="6" t="s">
        <v>136</v>
      </c>
      <c r="F124" s="7">
        <v>19548000</v>
      </c>
    </row>
    <row r="125" spans="1:6" x14ac:dyDescent="0.25">
      <c r="A125" s="6" t="s">
        <v>191</v>
      </c>
      <c r="B125" s="6">
        <v>2009</v>
      </c>
      <c r="C125" s="6" t="s">
        <v>210</v>
      </c>
      <c r="D125" s="6" t="s">
        <v>33</v>
      </c>
      <c r="E125" s="6" t="s">
        <v>143</v>
      </c>
      <c r="F125" s="7">
        <v>12558008</v>
      </c>
    </row>
    <row r="126" spans="1:6" x14ac:dyDescent="0.25">
      <c r="A126" s="6" t="s">
        <v>191</v>
      </c>
      <c r="B126" s="6">
        <v>2011</v>
      </c>
      <c r="C126" s="6" t="s">
        <v>211</v>
      </c>
      <c r="D126" s="6" t="s">
        <v>33</v>
      </c>
      <c r="E126" s="6" t="s">
        <v>141</v>
      </c>
      <c r="F126" s="7">
        <v>10780000</v>
      </c>
    </row>
    <row r="127" spans="1:6" x14ac:dyDescent="0.25">
      <c r="A127" s="6" t="s">
        <v>191</v>
      </c>
      <c r="B127" s="6">
        <v>2014</v>
      </c>
      <c r="C127" s="6" t="s">
        <v>212</v>
      </c>
      <c r="D127" s="6" t="s">
        <v>33</v>
      </c>
      <c r="E127" s="6" t="s">
        <v>9</v>
      </c>
      <c r="F127" s="7">
        <v>18000000</v>
      </c>
    </row>
    <row r="128" spans="1:6" x14ac:dyDescent="0.25">
      <c r="A128" s="6" t="s">
        <v>191</v>
      </c>
      <c r="B128" s="6">
        <v>2012</v>
      </c>
      <c r="C128" s="6" t="s">
        <v>213</v>
      </c>
      <c r="D128" s="6" t="s">
        <v>214</v>
      </c>
      <c r="E128" s="6" t="s">
        <v>215</v>
      </c>
      <c r="F128" s="7">
        <v>16508000</v>
      </c>
    </row>
    <row r="129" spans="1:6" x14ac:dyDescent="0.25">
      <c r="A129" s="6" t="s">
        <v>191</v>
      </c>
      <c r="B129" s="6">
        <v>2013</v>
      </c>
      <c r="C129" s="6" t="s">
        <v>216</v>
      </c>
      <c r="D129" s="6" t="s">
        <v>217</v>
      </c>
      <c r="E129" s="6" t="s">
        <v>218</v>
      </c>
      <c r="F129" s="7">
        <v>14000000</v>
      </c>
    </row>
    <row r="130" spans="1:6" x14ac:dyDescent="0.25">
      <c r="A130" s="6" t="s">
        <v>191</v>
      </c>
      <c r="B130" s="6">
        <v>2009</v>
      </c>
      <c r="C130" s="6" t="s">
        <v>219</v>
      </c>
      <c r="D130" s="6" t="s">
        <v>44</v>
      </c>
      <c r="E130" s="6" t="s">
        <v>220</v>
      </c>
      <c r="F130" s="7">
        <v>59000000</v>
      </c>
    </row>
    <row r="131" spans="1:6" x14ac:dyDescent="0.25">
      <c r="A131" s="6" t="s">
        <v>191</v>
      </c>
      <c r="B131" s="6">
        <v>2011</v>
      </c>
      <c r="C131" s="6" t="s">
        <v>221</v>
      </c>
      <c r="D131" s="6" t="s">
        <v>44</v>
      </c>
      <c r="E131" s="6" t="s">
        <v>220</v>
      </c>
      <c r="F131" s="7">
        <v>9600000</v>
      </c>
    </row>
    <row r="132" spans="1:6" x14ac:dyDescent="0.25">
      <c r="A132" s="6" t="s">
        <v>227</v>
      </c>
      <c r="B132" s="6">
        <v>2009</v>
      </c>
      <c r="C132" s="6" t="s">
        <v>232</v>
      </c>
      <c r="D132" s="6" t="s">
        <v>8</v>
      </c>
      <c r="E132" s="6" t="s">
        <v>143</v>
      </c>
      <c r="F132" s="7">
        <v>24140648</v>
      </c>
    </row>
    <row r="133" spans="1:6" x14ac:dyDescent="0.25">
      <c r="A133" s="6" t="s">
        <v>227</v>
      </c>
      <c r="B133" s="6">
        <v>2010</v>
      </c>
      <c r="C133" s="6" t="s">
        <v>233</v>
      </c>
      <c r="D133" s="6" t="s">
        <v>8</v>
      </c>
      <c r="E133" s="6" t="s">
        <v>146</v>
      </c>
      <c r="F133" s="7">
        <v>22719587</v>
      </c>
    </row>
    <row r="134" spans="1:6" x14ac:dyDescent="0.25">
      <c r="A134" s="6" t="s">
        <v>227</v>
      </c>
      <c r="B134" s="6">
        <v>2010</v>
      </c>
      <c r="C134" s="6" t="s">
        <v>234</v>
      </c>
      <c r="D134" s="6" t="s">
        <v>8</v>
      </c>
      <c r="E134" s="6" t="s">
        <v>34</v>
      </c>
      <c r="F134" s="7">
        <v>18237546</v>
      </c>
    </row>
    <row r="135" spans="1:6" x14ac:dyDescent="0.25">
      <c r="A135" s="6" t="s">
        <v>227</v>
      </c>
      <c r="B135" s="6">
        <v>2011</v>
      </c>
      <c r="C135" s="6" t="s">
        <v>235</v>
      </c>
      <c r="D135" s="6" t="s">
        <v>8</v>
      </c>
      <c r="E135" s="6" t="s">
        <v>11</v>
      </c>
      <c r="F135" s="7">
        <v>27386900</v>
      </c>
    </row>
    <row r="136" spans="1:6" x14ac:dyDescent="0.25">
      <c r="A136" s="6" t="s">
        <v>227</v>
      </c>
      <c r="B136" s="6">
        <v>2014</v>
      </c>
      <c r="C136" s="6" t="s">
        <v>236</v>
      </c>
      <c r="D136" s="6" t="s">
        <v>8</v>
      </c>
      <c r="E136" s="6" t="s">
        <v>11</v>
      </c>
      <c r="F136" s="7">
        <v>18887949</v>
      </c>
    </row>
    <row r="137" spans="1:6" x14ac:dyDescent="0.25">
      <c r="A137" s="6" t="s">
        <v>227</v>
      </c>
      <c r="B137" s="6">
        <v>2013</v>
      </c>
      <c r="C137" s="6" t="s">
        <v>237</v>
      </c>
      <c r="D137" s="196" t="s">
        <v>19</v>
      </c>
      <c r="E137" s="196" t="s">
        <v>125</v>
      </c>
      <c r="F137" s="197">
        <v>11674470</v>
      </c>
    </row>
    <row r="138" spans="1:6" x14ac:dyDescent="0.25">
      <c r="A138" s="6" t="s">
        <v>227</v>
      </c>
      <c r="B138" s="6">
        <v>2014</v>
      </c>
      <c r="C138" s="6" t="s">
        <v>238</v>
      </c>
      <c r="D138" s="196" t="s">
        <v>19</v>
      </c>
      <c r="E138" s="196" t="s">
        <v>239</v>
      </c>
      <c r="F138" s="197">
        <v>11109600</v>
      </c>
    </row>
    <row r="139" spans="1:6" x14ac:dyDescent="0.25">
      <c r="A139" s="6" t="s">
        <v>227</v>
      </c>
      <c r="B139" s="6">
        <v>2014</v>
      </c>
      <c r="C139" s="6" t="s">
        <v>240</v>
      </c>
      <c r="D139" s="196" t="s">
        <v>19</v>
      </c>
      <c r="E139" s="196" t="s">
        <v>75</v>
      </c>
      <c r="F139" s="197">
        <v>24698825</v>
      </c>
    </row>
    <row r="140" spans="1:6" x14ac:dyDescent="0.25">
      <c r="A140" s="6" t="s">
        <v>227</v>
      </c>
      <c r="B140" s="6">
        <v>2009</v>
      </c>
      <c r="C140" s="6" t="s">
        <v>241</v>
      </c>
      <c r="D140" s="6" t="s">
        <v>8</v>
      </c>
      <c r="E140" s="6" t="s">
        <v>69</v>
      </c>
      <c r="F140" s="7">
        <v>15439851</v>
      </c>
    </row>
    <row r="141" spans="1:6" x14ac:dyDescent="0.25">
      <c r="A141" s="6" t="s">
        <v>227</v>
      </c>
      <c r="B141" s="6">
        <v>2009</v>
      </c>
      <c r="C141" s="6" t="s">
        <v>242</v>
      </c>
      <c r="D141" s="6" t="s">
        <v>8</v>
      </c>
      <c r="E141" s="6" t="s">
        <v>11</v>
      </c>
      <c r="F141" s="7">
        <v>19512264</v>
      </c>
    </row>
    <row r="142" spans="1:6" x14ac:dyDescent="0.25">
      <c r="A142" s="6" t="s">
        <v>227</v>
      </c>
      <c r="B142" s="6">
        <v>2010</v>
      </c>
      <c r="C142" s="6" t="s">
        <v>243</v>
      </c>
      <c r="D142" s="6" t="s">
        <v>8</v>
      </c>
      <c r="E142" s="6" t="s">
        <v>146</v>
      </c>
      <c r="F142" s="7">
        <v>36000000</v>
      </c>
    </row>
    <row r="143" spans="1:6" x14ac:dyDescent="0.25">
      <c r="A143" s="6" t="s">
        <v>227</v>
      </c>
      <c r="B143" s="6">
        <v>2010</v>
      </c>
      <c r="C143" s="6" t="s">
        <v>244</v>
      </c>
      <c r="D143" s="6" t="s">
        <v>8</v>
      </c>
      <c r="E143" s="6" t="s">
        <v>52</v>
      </c>
      <c r="F143" s="7">
        <v>16395401</v>
      </c>
    </row>
    <row r="144" spans="1:6" x14ac:dyDescent="0.25">
      <c r="A144" s="6" t="s">
        <v>227</v>
      </c>
      <c r="B144" s="6">
        <v>2011</v>
      </c>
      <c r="C144" s="6" t="s">
        <v>245</v>
      </c>
      <c r="D144" s="6" t="s">
        <v>8</v>
      </c>
      <c r="E144" s="6" t="s">
        <v>69</v>
      </c>
      <c r="F144" s="7">
        <v>38736573</v>
      </c>
    </row>
    <row r="145" spans="1:6" x14ac:dyDescent="0.25">
      <c r="A145" s="6" t="s">
        <v>227</v>
      </c>
      <c r="B145" s="6">
        <v>2014</v>
      </c>
      <c r="C145" s="6" t="s">
        <v>246</v>
      </c>
      <c r="D145" s="6" t="s">
        <v>8</v>
      </c>
      <c r="E145" s="6" t="s">
        <v>229</v>
      </c>
      <c r="F145" s="7">
        <v>12151212</v>
      </c>
    </row>
    <row r="146" spans="1:6" x14ac:dyDescent="0.25">
      <c r="A146" s="6" t="s">
        <v>227</v>
      </c>
      <c r="B146" s="6">
        <v>2014</v>
      </c>
      <c r="C146" s="6" t="s">
        <v>247</v>
      </c>
      <c r="D146" s="6" t="s">
        <v>8</v>
      </c>
      <c r="E146" s="6" t="s">
        <v>69</v>
      </c>
      <c r="F146" s="7">
        <v>18956502</v>
      </c>
    </row>
    <row r="147" spans="1:6" x14ac:dyDescent="0.25">
      <c r="A147" s="6" t="s">
        <v>227</v>
      </c>
      <c r="B147" s="6">
        <v>2011</v>
      </c>
      <c r="C147" s="6" t="s">
        <v>248</v>
      </c>
      <c r="D147" s="196" t="s">
        <v>19</v>
      </c>
      <c r="E147" s="196" t="s">
        <v>69</v>
      </c>
      <c r="F147" s="197">
        <v>10573813</v>
      </c>
    </row>
    <row r="148" spans="1:6" x14ac:dyDescent="0.25">
      <c r="A148" s="6" t="s">
        <v>249</v>
      </c>
      <c r="B148" s="6">
        <v>2009</v>
      </c>
      <c r="C148" s="6" t="s">
        <v>250</v>
      </c>
      <c r="D148" s="6" t="s">
        <v>8</v>
      </c>
      <c r="E148" s="6" t="s">
        <v>52</v>
      </c>
      <c r="F148" s="7">
        <v>62700392</v>
      </c>
    </row>
    <row r="149" spans="1:6" x14ac:dyDescent="0.25">
      <c r="A149" s="6" t="s">
        <v>249</v>
      </c>
      <c r="B149" s="6">
        <v>2009</v>
      </c>
      <c r="C149" s="6" t="s">
        <v>251</v>
      </c>
      <c r="D149" s="6" t="s">
        <v>8</v>
      </c>
      <c r="E149" s="6" t="s">
        <v>58</v>
      </c>
      <c r="F149" s="7">
        <v>39486474</v>
      </c>
    </row>
    <row r="150" spans="1:6" x14ac:dyDescent="0.25">
      <c r="A150" s="6" t="s">
        <v>249</v>
      </c>
      <c r="B150" s="6">
        <v>2009</v>
      </c>
      <c r="C150" s="6" t="s">
        <v>252</v>
      </c>
      <c r="D150" s="6" t="s">
        <v>8</v>
      </c>
      <c r="E150" s="6" t="s">
        <v>58</v>
      </c>
      <c r="F150" s="7">
        <v>14193696</v>
      </c>
    </row>
    <row r="151" spans="1:6" x14ac:dyDescent="0.25">
      <c r="A151" s="6" t="s">
        <v>249</v>
      </c>
      <c r="B151" s="6">
        <v>2009</v>
      </c>
      <c r="C151" s="6" t="s">
        <v>253</v>
      </c>
      <c r="D151" s="6" t="s">
        <v>8</v>
      </c>
      <c r="E151" s="6" t="s">
        <v>229</v>
      </c>
      <c r="F151" s="7">
        <v>15808053</v>
      </c>
    </row>
    <row r="152" spans="1:6" x14ac:dyDescent="0.25">
      <c r="A152" s="6" t="s">
        <v>249</v>
      </c>
      <c r="B152" s="6">
        <v>2010</v>
      </c>
      <c r="C152" s="6" t="s">
        <v>254</v>
      </c>
      <c r="D152" s="6" t="s">
        <v>8</v>
      </c>
      <c r="E152" s="6" t="s">
        <v>146</v>
      </c>
      <c r="F152" s="7">
        <v>97010971</v>
      </c>
    </row>
    <row r="153" spans="1:6" x14ac:dyDescent="0.25">
      <c r="A153" s="6" t="s">
        <v>249</v>
      </c>
      <c r="B153" s="6">
        <v>2012</v>
      </c>
      <c r="C153" s="6" t="s">
        <v>255</v>
      </c>
      <c r="D153" s="6" t="s">
        <v>8</v>
      </c>
      <c r="E153" s="6" t="s">
        <v>229</v>
      </c>
      <c r="F153" s="7">
        <v>29794180</v>
      </c>
    </row>
    <row r="154" spans="1:6" x14ac:dyDescent="0.25">
      <c r="A154" s="6" t="s">
        <v>249</v>
      </c>
      <c r="B154" s="6">
        <v>2013</v>
      </c>
      <c r="C154" s="6" t="s">
        <v>256</v>
      </c>
      <c r="D154" s="6" t="s">
        <v>8</v>
      </c>
      <c r="E154" s="6" t="s">
        <v>146</v>
      </c>
      <c r="F154" s="7">
        <v>29852815</v>
      </c>
    </row>
    <row r="155" spans="1:6" x14ac:dyDescent="0.25">
      <c r="A155" s="6" t="s">
        <v>249</v>
      </c>
      <c r="B155" s="6">
        <v>2013</v>
      </c>
      <c r="C155" s="6" t="s">
        <v>257</v>
      </c>
      <c r="D155" s="6" t="s">
        <v>8</v>
      </c>
      <c r="E155" s="6" t="s">
        <v>52</v>
      </c>
      <c r="F155" s="7">
        <v>7962123</v>
      </c>
    </row>
    <row r="156" spans="1:6" x14ac:dyDescent="0.25">
      <c r="A156" s="6" t="s">
        <v>249</v>
      </c>
      <c r="B156" s="6">
        <v>2014</v>
      </c>
      <c r="C156" s="6" t="s">
        <v>258</v>
      </c>
      <c r="D156" s="6" t="s">
        <v>8</v>
      </c>
      <c r="E156" s="6" t="s">
        <v>9</v>
      </c>
      <c r="F156" s="7">
        <v>37092578</v>
      </c>
    </row>
    <row r="157" spans="1:6" x14ac:dyDescent="0.25">
      <c r="A157" s="6" t="s">
        <v>249</v>
      </c>
      <c r="B157" s="6">
        <v>2014</v>
      </c>
      <c r="C157" s="6" t="s">
        <v>259</v>
      </c>
      <c r="D157" s="6" t="s">
        <v>8</v>
      </c>
      <c r="E157" s="6" t="s">
        <v>31</v>
      </c>
      <c r="F157" s="7">
        <v>12058600</v>
      </c>
    </row>
    <row r="158" spans="1:6" x14ac:dyDescent="0.25">
      <c r="A158" s="6" t="s">
        <v>249</v>
      </c>
      <c r="B158" s="6">
        <v>2014</v>
      </c>
      <c r="C158" s="6" t="s">
        <v>260</v>
      </c>
      <c r="D158" s="6" t="s">
        <v>8</v>
      </c>
      <c r="E158" s="6" t="s">
        <v>75</v>
      </c>
      <c r="F158" s="7">
        <v>5468139</v>
      </c>
    </row>
    <row r="159" spans="1:6" x14ac:dyDescent="0.25">
      <c r="A159" s="6" t="s">
        <v>249</v>
      </c>
      <c r="B159" s="6">
        <v>2013</v>
      </c>
      <c r="C159" s="6" t="s">
        <v>261</v>
      </c>
      <c r="D159" s="6" t="s">
        <v>33</v>
      </c>
      <c r="E159" s="6" t="s">
        <v>9</v>
      </c>
      <c r="F159" s="7">
        <v>33247088</v>
      </c>
    </row>
    <row r="160" spans="1:6" x14ac:dyDescent="0.25">
      <c r="A160" s="6" t="s">
        <v>249</v>
      </c>
      <c r="B160" s="6">
        <v>2011</v>
      </c>
      <c r="C160" s="6" t="s">
        <v>262</v>
      </c>
      <c r="D160" s="6" t="s">
        <v>33</v>
      </c>
      <c r="E160" s="6" t="s">
        <v>49</v>
      </c>
      <c r="F160" s="7">
        <v>12684274</v>
      </c>
    </row>
    <row r="161" spans="1:6" x14ac:dyDescent="0.25">
      <c r="A161" s="6" t="s">
        <v>249</v>
      </c>
      <c r="B161" s="6">
        <v>2011</v>
      </c>
      <c r="C161" s="6" t="s">
        <v>264</v>
      </c>
      <c r="D161" s="6" t="s">
        <v>33</v>
      </c>
      <c r="E161" s="6" t="s">
        <v>11</v>
      </c>
      <c r="F161" s="7">
        <v>33205861</v>
      </c>
    </row>
    <row r="162" spans="1:6" x14ac:dyDescent="0.25">
      <c r="A162" s="6" t="s">
        <v>249</v>
      </c>
      <c r="B162" s="6">
        <v>2013</v>
      </c>
      <c r="C162" s="6" t="s">
        <v>263</v>
      </c>
      <c r="D162" s="6" t="s">
        <v>33</v>
      </c>
      <c r="E162" s="6" t="s">
        <v>69</v>
      </c>
      <c r="F162" s="7">
        <v>23546845</v>
      </c>
    </row>
    <row r="163" spans="1:6" x14ac:dyDescent="0.25">
      <c r="A163" s="6" t="s">
        <v>269</v>
      </c>
      <c r="B163" s="6">
        <v>2009</v>
      </c>
      <c r="C163" s="6" t="s">
        <v>270</v>
      </c>
      <c r="D163" s="6" t="s">
        <v>8</v>
      </c>
      <c r="E163" s="6" t="s">
        <v>75</v>
      </c>
      <c r="F163" s="7">
        <v>11216304</v>
      </c>
    </row>
    <row r="164" spans="1:6" x14ac:dyDescent="0.25">
      <c r="A164" s="6" t="s">
        <v>269</v>
      </c>
      <c r="B164" s="6">
        <v>2009</v>
      </c>
      <c r="C164" s="6" t="s">
        <v>271</v>
      </c>
      <c r="D164" s="6" t="s">
        <v>8</v>
      </c>
      <c r="E164" s="6" t="s">
        <v>75</v>
      </c>
      <c r="F164" s="7">
        <v>13853380</v>
      </c>
    </row>
    <row r="165" spans="1:6" x14ac:dyDescent="0.25">
      <c r="A165" s="6" t="s">
        <v>269</v>
      </c>
      <c r="B165" s="6">
        <v>2012</v>
      </c>
      <c r="C165" s="6" t="s">
        <v>272</v>
      </c>
      <c r="D165" s="6" t="s">
        <v>8</v>
      </c>
      <c r="E165" s="6" t="s">
        <v>11</v>
      </c>
      <c r="F165" s="7">
        <v>66737161</v>
      </c>
    </row>
    <row r="166" spans="1:6" x14ac:dyDescent="0.25">
      <c r="A166" s="6" t="s">
        <v>269</v>
      </c>
      <c r="B166" s="6">
        <v>2014</v>
      </c>
      <c r="C166" s="6" t="s">
        <v>273</v>
      </c>
      <c r="D166" s="6" t="s">
        <v>8</v>
      </c>
      <c r="E166" s="6" t="s">
        <v>75</v>
      </c>
      <c r="F166" s="7">
        <v>28876276</v>
      </c>
    </row>
    <row r="167" spans="1:6" x14ac:dyDescent="0.25">
      <c r="A167" s="6" t="s">
        <v>277</v>
      </c>
      <c r="B167" s="6">
        <v>2008</v>
      </c>
      <c r="C167" s="6" t="s">
        <v>278</v>
      </c>
      <c r="D167" s="6" t="s">
        <v>8</v>
      </c>
      <c r="E167" s="6" t="s">
        <v>49</v>
      </c>
      <c r="F167" s="7">
        <v>8625147</v>
      </c>
    </row>
    <row r="168" spans="1:6" x14ac:dyDescent="0.25">
      <c r="A168" s="6" t="s">
        <v>277</v>
      </c>
      <c r="B168" s="6">
        <v>2009</v>
      </c>
      <c r="C168" s="6" t="s">
        <v>279</v>
      </c>
      <c r="D168" s="6" t="s">
        <v>8</v>
      </c>
      <c r="E168" s="6" t="s">
        <v>11</v>
      </c>
      <c r="F168" s="7">
        <v>5881832</v>
      </c>
    </row>
    <row r="169" spans="1:6" x14ac:dyDescent="0.25">
      <c r="A169" s="6" t="s">
        <v>277</v>
      </c>
      <c r="B169" s="6">
        <v>2011</v>
      </c>
      <c r="C169" s="6" t="s">
        <v>280</v>
      </c>
      <c r="D169" s="6" t="s">
        <v>8</v>
      </c>
      <c r="E169" s="6" t="s">
        <v>11</v>
      </c>
      <c r="F169" s="7">
        <v>53526409</v>
      </c>
    </row>
    <row r="170" spans="1:6" x14ac:dyDescent="0.25">
      <c r="A170" s="6" t="s">
        <v>277</v>
      </c>
      <c r="B170" s="6">
        <v>2011</v>
      </c>
      <c r="C170" s="6" t="s">
        <v>281</v>
      </c>
      <c r="D170" s="6" t="s">
        <v>8</v>
      </c>
      <c r="E170" s="6" t="s">
        <v>282</v>
      </c>
      <c r="F170" s="7">
        <v>11469095</v>
      </c>
    </row>
    <row r="171" spans="1:6" x14ac:dyDescent="0.25">
      <c r="A171" s="6" t="s">
        <v>277</v>
      </c>
      <c r="B171" s="6">
        <v>2011</v>
      </c>
      <c r="C171" s="6" t="s">
        <v>283</v>
      </c>
      <c r="D171" s="6" t="s">
        <v>8</v>
      </c>
      <c r="E171" s="6" t="s">
        <v>282</v>
      </c>
      <c r="F171" s="7">
        <v>7475220</v>
      </c>
    </row>
    <row r="172" spans="1:6" x14ac:dyDescent="0.25">
      <c r="A172" s="6" t="s">
        <v>277</v>
      </c>
      <c r="B172" s="6">
        <v>2012</v>
      </c>
      <c r="C172" s="6" t="s">
        <v>284</v>
      </c>
      <c r="D172" s="6" t="s">
        <v>8</v>
      </c>
      <c r="E172" s="6" t="s">
        <v>9</v>
      </c>
      <c r="F172" s="7">
        <v>20014505</v>
      </c>
    </row>
    <row r="173" spans="1:6" x14ac:dyDescent="0.25">
      <c r="A173" s="6" t="s">
        <v>277</v>
      </c>
      <c r="B173" s="6">
        <v>2012</v>
      </c>
      <c r="C173" s="6" t="s">
        <v>285</v>
      </c>
      <c r="D173" s="6" t="s">
        <v>8</v>
      </c>
      <c r="E173" s="6" t="s">
        <v>11</v>
      </c>
      <c r="F173" s="7">
        <v>7334710</v>
      </c>
    </row>
    <row r="174" spans="1:6" x14ac:dyDescent="0.25">
      <c r="A174" s="6" t="s">
        <v>277</v>
      </c>
      <c r="B174" s="6">
        <v>2012</v>
      </c>
      <c r="C174" s="6" t="s">
        <v>286</v>
      </c>
      <c r="D174" s="6" t="s">
        <v>8</v>
      </c>
      <c r="E174" s="6" t="s">
        <v>9</v>
      </c>
      <c r="F174" s="7">
        <v>11770972</v>
      </c>
    </row>
    <row r="175" spans="1:6" x14ac:dyDescent="0.25">
      <c r="A175" s="6" t="s">
        <v>277</v>
      </c>
      <c r="B175" s="6">
        <v>2012</v>
      </c>
      <c r="C175" s="6" t="s">
        <v>287</v>
      </c>
      <c r="D175" s="6" t="s">
        <v>8</v>
      </c>
      <c r="E175" s="6" t="s">
        <v>9</v>
      </c>
      <c r="F175" s="7">
        <v>7577000</v>
      </c>
    </row>
    <row r="176" spans="1:6" x14ac:dyDescent="0.25">
      <c r="A176" s="6" t="s">
        <v>277</v>
      </c>
      <c r="B176" s="6">
        <v>2013</v>
      </c>
      <c r="C176" s="6" t="s">
        <v>288</v>
      </c>
      <c r="D176" s="6" t="s">
        <v>8</v>
      </c>
      <c r="E176" s="6" t="s">
        <v>146</v>
      </c>
      <c r="F176" s="7">
        <v>5260000</v>
      </c>
    </row>
    <row r="177" spans="1:13" x14ac:dyDescent="0.25">
      <c r="A177" s="6" t="s">
        <v>277</v>
      </c>
      <c r="B177" s="6">
        <v>2014</v>
      </c>
      <c r="C177" s="6" t="s">
        <v>289</v>
      </c>
      <c r="D177" s="6" t="s">
        <v>8</v>
      </c>
      <c r="E177" s="6" t="s">
        <v>143</v>
      </c>
      <c r="F177" s="7">
        <v>22078719</v>
      </c>
    </row>
    <row r="178" spans="1:13" x14ac:dyDescent="0.25">
      <c r="A178" s="6" t="s">
        <v>277</v>
      </c>
      <c r="B178" s="6">
        <v>2014</v>
      </c>
      <c r="C178" s="6" t="s">
        <v>290</v>
      </c>
      <c r="D178" s="6" t="s">
        <v>8</v>
      </c>
      <c r="E178" s="6" t="s">
        <v>58</v>
      </c>
      <c r="F178" s="7">
        <v>5600000</v>
      </c>
    </row>
    <row r="179" spans="1:13" x14ac:dyDescent="0.25">
      <c r="C179" s="132">
        <f>COUNTA(C3:C178)</f>
        <v>176</v>
      </c>
      <c r="F179" s="168">
        <f>SUM(F3:F178)</f>
        <v>3714051213</v>
      </c>
    </row>
    <row r="180" spans="1:13" ht="15.75" thickBot="1" x14ac:dyDescent="0.3"/>
    <row r="181" spans="1:13" ht="19.5" thickBot="1" x14ac:dyDescent="0.35">
      <c r="A181" s="220" t="s">
        <v>367</v>
      </c>
      <c r="B181" s="221"/>
      <c r="C181" s="221"/>
      <c r="D181" s="221"/>
      <c r="E181" s="221"/>
      <c r="F181" s="222"/>
      <c r="I181" s="220" t="s">
        <v>367</v>
      </c>
      <c r="J181" s="229"/>
      <c r="K181" s="229"/>
      <c r="L181" s="229"/>
      <c r="M181" s="230"/>
    </row>
    <row r="182" spans="1:13" ht="15.75" x14ac:dyDescent="0.25">
      <c r="A182" s="3" t="s">
        <v>0</v>
      </c>
      <c r="B182" s="3" t="s">
        <v>1</v>
      </c>
      <c r="C182" s="3" t="s">
        <v>2</v>
      </c>
      <c r="D182" s="3" t="s">
        <v>3</v>
      </c>
      <c r="E182" s="3" t="s">
        <v>4</v>
      </c>
      <c r="F182" s="4" t="s">
        <v>5</v>
      </c>
      <c r="I182" s="23"/>
      <c r="J182" s="6"/>
      <c r="K182" s="115" t="str">
        <f t="shared" ref="I182:M186" si="1">K9</f>
        <v>$ Amount</v>
      </c>
      <c r="L182" s="115" t="str">
        <f t="shared" si="1"/>
        <v>% OF PROJECTS</v>
      </c>
      <c r="M182" s="116" t="str">
        <f t="shared" si="1"/>
        <v>% OF TOTAL $</v>
      </c>
    </row>
    <row r="183" spans="1:13" x14ac:dyDescent="0.25">
      <c r="A183" s="19" t="s">
        <v>6</v>
      </c>
      <c r="B183" s="19">
        <v>2016</v>
      </c>
      <c r="C183" s="19" t="s">
        <v>17</v>
      </c>
      <c r="D183" s="19" t="s">
        <v>8</v>
      </c>
      <c r="E183" s="19" t="s">
        <v>9</v>
      </c>
      <c r="F183" s="20">
        <v>43418000</v>
      </c>
      <c r="I183" s="25" t="str">
        <f t="shared" si="1"/>
        <v>Total Projects</v>
      </c>
      <c r="J183" s="6">
        <f t="shared" si="1"/>
        <v>43</v>
      </c>
      <c r="K183" s="7">
        <f t="shared" si="1"/>
        <v>1331797409</v>
      </c>
      <c r="L183" s="6"/>
      <c r="M183" s="26"/>
    </row>
    <row r="184" spans="1:13" x14ac:dyDescent="0.25">
      <c r="A184" s="19" t="s">
        <v>6</v>
      </c>
      <c r="B184" s="19">
        <v>2016</v>
      </c>
      <c r="C184" s="19" t="s">
        <v>18</v>
      </c>
      <c r="D184" s="127" t="s">
        <v>19</v>
      </c>
      <c r="E184" s="127" t="s">
        <v>11</v>
      </c>
      <c r="F184" s="117">
        <v>5835000</v>
      </c>
      <c r="I184" s="25" t="str">
        <f t="shared" si="1"/>
        <v>Other Method Projects</v>
      </c>
      <c r="J184" s="6">
        <f t="shared" si="1"/>
        <v>36</v>
      </c>
      <c r="K184" s="7">
        <f t="shared" si="1"/>
        <v>1278410635</v>
      </c>
      <c r="L184" s="18">
        <f t="shared" si="1"/>
        <v>0.83720930232558144</v>
      </c>
      <c r="M184" s="29">
        <f t="shared" si="1"/>
        <v>0.95991374240614702</v>
      </c>
    </row>
    <row r="185" spans="1:13" ht="15.75" thickBot="1" x14ac:dyDescent="0.3">
      <c r="A185" s="21" t="s">
        <v>6</v>
      </c>
      <c r="B185" s="21">
        <v>2016</v>
      </c>
      <c r="C185" s="21" t="s">
        <v>20</v>
      </c>
      <c r="D185" s="146" t="s">
        <v>19</v>
      </c>
      <c r="E185" s="146" t="s">
        <v>21</v>
      </c>
      <c r="F185" s="147">
        <v>9500000</v>
      </c>
      <c r="G185" s="6"/>
      <c r="H185" s="6"/>
      <c r="I185" s="25" t="str">
        <f t="shared" si="1"/>
        <v>Competitive Bid Projects</v>
      </c>
      <c r="J185" s="6">
        <f t="shared" si="1"/>
        <v>7</v>
      </c>
      <c r="K185" s="7">
        <f t="shared" si="1"/>
        <v>53386774</v>
      </c>
      <c r="L185" s="30">
        <f t="shared" si="1"/>
        <v>0.16279069767441862</v>
      </c>
      <c r="M185" s="31">
        <f t="shared" si="1"/>
        <v>4.0086257593853002E-2</v>
      </c>
    </row>
    <row r="186" spans="1:13" ht="15.75" thickBot="1" x14ac:dyDescent="0.3">
      <c r="A186" s="21" t="s">
        <v>6</v>
      </c>
      <c r="B186" s="21">
        <v>2017</v>
      </c>
      <c r="C186" s="21" t="s">
        <v>22</v>
      </c>
      <c r="D186" s="21" t="s">
        <v>8</v>
      </c>
      <c r="E186" s="21" t="s">
        <v>11</v>
      </c>
      <c r="F186" s="22">
        <v>50464532</v>
      </c>
      <c r="G186" s="6"/>
      <c r="H186" s="6"/>
      <c r="I186" s="27"/>
      <c r="J186" s="28"/>
      <c r="K186" s="28">
        <f t="shared" si="1"/>
        <v>0</v>
      </c>
      <c r="L186" s="30">
        <f t="shared" si="1"/>
        <v>1</v>
      </c>
      <c r="M186" s="31">
        <f t="shared" si="1"/>
        <v>1</v>
      </c>
    </row>
    <row r="187" spans="1:13" x14ac:dyDescent="0.25">
      <c r="A187" s="21" t="s">
        <v>23</v>
      </c>
      <c r="B187" s="21">
        <v>2016</v>
      </c>
      <c r="C187" s="21" t="s">
        <v>46</v>
      </c>
      <c r="D187" s="21" t="s">
        <v>8</v>
      </c>
      <c r="E187" s="21" t="s">
        <v>11</v>
      </c>
      <c r="F187" s="22">
        <v>54797710</v>
      </c>
      <c r="G187" s="6"/>
      <c r="H187" s="6"/>
      <c r="I187" s="6"/>
    </row>
    <row r="188" spans="1:13" x14ac:dyDescent="0.25">
      <c r="A188" s="21" t="s">
        <v>47</v>
      </c>
      <c r="B188" s="21">
        <v>2016</v>
      </c>
      <c r="C188" s="21" t="s">
        <v>65</v>
      </c>
      <c r="D188" s="21" t="s">
        <v>8</v>
      </c>
      <c r="E188" s="21" t="s">
        <v>9</v>
      </c>
      <c r="F188" s="22">
        <v>19543856</v>
      </c>
      <c r="G188" s="6"/>
      <c r="H188" s="6"/>
      <c r="I188" s="6"/>
    </row>
    <row r="189" spans="1:13" x14ac:dyDescent="0.25">
      <c r="A189" s="21" t="s">
        <v>47</v>
      </c>
      <c r="B189" s="21">
        <v>2016</v>
      </c>
      <c r="C189" s="21" t="s">
        <v>66</v>
      </c>
      <c r="D189" s="146" t="s">
        <v>19</v>
      </c>
      <c r="E189" s="146" t="s">
        <v>67</v>
      </c>
      <c r="F189" s="147">
        <v>5869548</v>
      </c>
      <c r="G189" s="6"/>
      <c r="H189" s="6"/>
      <c r="I189" s="6"/>
    </row>
    <row r="190" spans="1:13" x14ac:dyDescent="0.25">
      <c r="A190" s="21" t="s">
        <v>47</v>
      </c>
      <c r="B190" s="21">
        <v>2016</v>
      </c>
      <c r="C190" s="21" t="s">
        <v>382</v>
      </c>
      <c r="D190" s="21" t="s">
        <v>8</v>
      </c>
      <c r="E190" s="21" t="s">
        <v>52</v>
      </c>
      <c r="F190" s="22">
        <v>57312163</v>
      </c>
      <c r="G190" s="6"/>
      <c r="H190" s="6"/>
      <c r="I190" s="6"/>
    </row>
    <row r="191" spans="1:13" x14ac:dyDescent="0.25">
      <c r="A191" s="21" t="s">
        <v>47</v>
      </c>
      <c r="B191" s="21">
        <v>2017</v>
      </c>
      <c r="C191" s="21" t="s">
        <v>383</v>
      </c>
      <c r="D191" s="21" t="s">
        <v>8</v>
      </c>
      <c r="E191" s="21" t="s">
        <v>69</v>
      </c>
      <c r="F191" s="22">
        <v>99000000</v>
      </c>
      <c r="G191" s="6"/>
      <c r="H191" s="6"/>
      <c r="I191" s="6"/>
    </row>
    <row r="192" spans="1:13" x14ac:dyDescent="0.25">
      <c r="A192" s="21" t="s">
        <v>47</v>
      </c>
      <c r="B192" s="21">
        <v>2017</v>
      </c>
      <c r="C192" s="21" t="s">
        <v>70</v>
      </c>
      <c r="D192" s="21" t="s">
        <v>8</v>
      </c>
      <c r="E192" s="21" t="s">
        <v>9</v>
      </c>
      <c r="F192" s="22">
        <v>26228125</v>
      </c>
      <c r="G192" s="6"/>
      <c r="H192" s="6"/>
      <c r="I192" s="6"/>
    </row>
    <row r="193" spans="1:9" x14ac:dyDescent="0.25">
      <c r="A193" s="21" t="s">
        <v>47</v>
      </c>
      <c r="B193" s="21">
        <v>2017</v>
      </c>
      <c r="C193" s="21" t="s">
        <v>71</v>
      </c>
      <c r="D193" s="21" t="s">
        <v>8</v>
      </c>
      <c r="E193" s="21" t="s">
        <v>58</v>
      </c>
      <c r="F193" s="22">
        <v>72835614</v>
      </c>
      <c r="G193" s="6"/>
      <c r="H193" s="6"/>
      <c r="I193" s="6"/>
    </row>
    <row r="194" spans="1:9" x14ac:dyDescent="0.25">
      <c r="A194" s="21" t="s">
        <v>47</v>
      </c>
      <c r="B194" s="21">
        <v>2017</v>
      </c>
      <c r="C194" s="21" t="s">
        <v>72</v>
      </c>
      <c r="D194" s="21" t="s">
        <v>8</v>
      </c>
      <c r="E194" s="21" t="s">
        <v>61</v>
      </c>
      <c r="F194" s="22">
        <v>20409000</v>
      </c>
      <c r="G194" s="6"/>
      <c r="H194" s="6"/>
      <c r="I194" s="6"/>
    </row>
    <row r="195" spans="1:9" x14ac:dyDescent="0.25">
      <c r="A195" s="21" t="s">
        <v>73</v>
      </c>
      <c r="B195" s="21">
        <v>2016</v>
      </c>
      <c r="C195" s="21" t="s">
        <v>84</v>
      </c>
      <c r="D195" s="146" t="s">
        <v>19</v>
      </c>
      <c r="E195" s="146" t="s">
        <v>85</v>
      </c>
      <c r="F195" s="147">
        <v>6556593</v>
      </c>
      <c r="G195" s="6"/>
      <c r="H195" s="6"/>
      <c r="I195" s="6"/>
    </row>
    <row r="196" spans="1:9" x14ac:dyDescent="0.25">
      <c r="A196" s="21" t="s">
        <v>73</v>
      </c>
      <c r="B196" s="21">
        <v>2013</v>
      </c>
      <c r="C196" s="21" t="s">
        <v>86</v>
      </c>
      <c r="D196" s="21" t="s">
        <v>8</v>
      </c>
      <c r="E196" s="21" t="s">
        <v>52</v>
      </c>
      <c r="F196" s="22">
        <v>28635950</v>
      </c>
      <c r="G196" s="6"/>
      <c r="H196" s="6"/>
      <c r="I196" s="6"/>
    </row>
    <row r="197" spans="1:9" x14ac:dyDescent="0.25">
      <c r="A197" s="21" t="s">
        <v>73</v>
      </c>
      <c r="B197" s="21">
        <v>2017</v>
      </c>
      <c r="C197" s="21" t="s">
        <v>87</v>
      </c>
      <c r="D197" s="146" t="s">
        <v>19</v>
      </c>
      <c r="E197" s="146" t="s">
        <v>88</v>
      </c>
      <c r="F197" s="147">
        <v>5192800</v>
      </c>
      <c r="G197" s="6"/>
      <c r="H197" s="6"/>
      <c r="I197" s="6"/>
    </row>
    <row r="198" spans="1:9" x14ac:dyDescent="0.25">
      <c r="A198" s="21" t="s">
        <v>89</v>
      </c>
      <c r="B198" s="21">
        <v>2015</v>
      </c>
      <c r="C198" s="21" t="s">
        <v>90</v>
      </c>
      <c r="D198" s="21" t="s">
        <v>8</v>
      </c>
      <c r="E198" s="21" t="s">
        <v>69</v>
      </c>
      <c r="F198" s="22">
        <v>60584000</v>
      </c>
      <c r="G198" s="6"/>
      <c r="H198" s="6"/>
      <c r="I198" s="6"/>
    </row>
    <row r="199" spans="1:9" x14ac:dyDescent="0.25">
      <c r="A199" s="21" t="s">
        <v>94</v>
      </c>
      <c r="B199" s="21">
        <v>2015</v>
      </c>
      <c r="C199" s="21" t="s">
        <v>102</v>
      </c>
      <c r="D199" s="146" t="s">
        <v>19</v>
      </c>
      <c r="E199" s="146" t="s">
        <v>103</v>
      </c>
      <c r="F199" s="147">
        <v>6592833</v>
      </c>
      <c r="G199" s="6"/>
      <c r="H199" s="6"/>
      <c r="I199" s="6"/>
    </row>
    <row r="200" spans="1:9" x14ac:dyDescent="0.25">
      <c r="A200" s="21" t="s">
        <v>104</v>
      </c>
      <c r="B200" s="21">
        <v>2016</v>
      </c>
      <c r="C200" s="21" t="s">
        <v>117</v>
      </c>
      <c r="D200" s="21" t="s">
        <v>33</v>
      </c>
      <c r="E200" s="21" t="s">
        <v>112</v>
      </c>
      <c r="F200" s="22">
        <v>5643936</v>
      </c>
      <c r="G200" s="6"/>
      <c r="H200" s="6"/>
      <c r="I200" s="6"/>
    </row>
    <row r="201" spans="1:9" x14ac:dyDescent="0.25">
      <c r="A201" s="21" t="s">
        <v>104</v>
      </c>
      <c r="B201" s="21">
        <v>2016</v>
      </c>
      <c r="C201" s="21" t="s">
        <v>118</v>
      </c>
      <c r="D201" s="21" t="s">
        <v>33</v>
      </c>
      <c r="E201" s="21" t="s">
        <v>112</v>
      </c>
      <c r="F201" s="22">
        <v>6380309</v>
      </c>
      <c r="G201" s="6"/>
      <c r="H201" s="6"/>
      <c r="I201" s="6"/>
    </row>
    <row r="202" spans="1:9" x14ac:dyDescent="0.25">
      <c r="A202" s="21" t="s">
        <v>129</v>
      </c>
      <c r="B202" s="21">
        <v>2016</v>
      </c>
      <c r="C202" s="21" t="s">
        <v>186</v>
      </c>
      <c r="D202" s="21" t="s">
        <v>8</v>
      </c>
      <c r="E202" s="21" t="s">
        <v>143</v>
      </c>
      <c r="F202" s="22">
        <v>70304737</v>
      </c>
      <c r="G202" s="6"/>
      <c r="H202" s="6"/>
      <c r="I202" s="6"/>
    </row>
    <row r="203" spans="1:9" x14ac:dyDescent="0.25">
      <c r="A203" s="21" t="s">
        <v>129</v>
      </c>
      <c r="B203" s="21">
        <v>2017</v>
      </c>
      <c r="C203" s="21" t="s">
        <v>187</v>
      </c>
      <c r="D203" s="21" t="s">
        <v>8</v>
      </c>
      <c r="E203" s="21" t="s">
        <v>146</v>
      </c>
      <c r="F203" s="22">
        <v>10394947</v>
      </c>
      <c r="G203" s="6"/>
      <c r="H203" s="6"/>
      <c r="I203" s="6"/>
    </row>
    <row r="204" spans="1:9" x14ac:dyDescent="0.25">
      <c r="A204" s="21" t="s">
        <v>129</v>
      </c>
      <c r="B204" s="21">
        <v>2017</v>
      </c>
      <c r="C204" s="21" t="s">
        <v>188</v>
      </c>
      <c r="D204" s="21" t="s">
        <v>8</v>
      </c>
      <c r="E204" s="21" t="s">
        <v>11</v>
      </c>
      <c r="F204" s="22">
        <v>43051269</v>
      </c>
      <c r="G204" s="6"/>
      <c r="H204" s="6"/>
      <c r="I204" s="6"/>
    </row>
    <row r="205" spans="1:9" x14ac:dyDescent="0.25">
      <c r="A205" s="21" t="s">
        <v>189</v>
      </c>
      <c r="B205" s="21">
        <v>2013</v>
      </c>
      <c r="C205" s="21" t="s">
        <v>190</v>
      </c>
      <c r="D205" s="21" t="s">
        <v>8</v>
      </c>
      <c r="E205" s="21" t="s">
        <v>9</v>
      </c>
      <c r="F205" s="22">
        <v>7760889</v>
      </c>
      <c r="G205" s="6"/>
      <c r="H205" s="6"/>
      <c r="I205" s="6"/>
    </row>
    <row r="206" spans="1:9" x14ac:dyDescent="0.25">
      <c r="A206" s="21" t="s">
        <v>191</v>
      </c>
      <c r="B206" s="21">
        <v>2015</v>
      </c>
      <c r="C206" s="21" t="s">
        <v>222</v>
      </c>
      <c r="D206" s="21" t="s">
        <v>8</v>
      </c>
      <c r="E206" s="21" t="s">
        <v>9</v>
      </c>
      <c r="F206" s="22">
        <v>30600000</v>
      </c>
      <c r="G206" s="6"/>
      <c r="H206" s="6"/>
      <c r="I206" s="6"/>
    </row>
    <row r="207" spans="1:9" x14ac:dyDescent="0.25">
      <c r="A207" s="21" t="s">
        <v>191</v>
      </c>
      <c r="B207" s="21">
        <v>2017</v>
      </c>
      <c r="C207" s="21" t="s">
        <v>223</v>
      </c>
      <c r="D207" s="21" t="s">
        <v>8</v>
      </c>
      <c r="E207" s="21" t="s">
        <v>75</v>
      </c>
      <c r="F207" s="22">
        <v>25605000</v>
      </c>
      <c r="G207" s="6"/>
      <c r="H207" s="6"/>
      <c r="I207" s="6"/>
    </row>
    <row r="208" spans="1:9" x14ac:dyDescent="0.25">
      <c r="A208" s="21" t="s">
        <v>191</v>
      </c>
      <c r="B208" s="21">
        <v>2017</v>
      </c>
      <c r="C208" s="21" t="s">
        <v>224</v>
      </c>
      <c r="D208" s="21" t="s">
        <v>33</v>
      </c>
      <c r="E208" s="21" t="s">
        <v>11</v>
      </c>
      <c r="F208" s="22">
        <v>14329153</v>
      </c>
      <c r="G208" s="6"/>
      <c r="H208" s="6"/>
      <c r="I208" s="6"/>
    </row>
    <row r="209" spans="1:9" x14ac:dyDescent="0.25">
      <c r="A209" s="21" t="s">
        <v>191</v>
      </c>
      <c r="B209" s="21">
        <v>2017</v>
      </c>
      <c r="C209" s="21" t="s">
        <v>225</v>
      </c>
      <c r="D209" s="21" t="s">
        <v>8</v>
      </c>
      <c r="E209" s="21" t="s">
        <v>75</v>
      </c>
      <c r="F209" s="22">
        <v>14144099</v>
      </c>
      <c r="G209" s="6"/>
      <c r="H209" s="6"/>
      <c r="I209" s="6"/>
    </row>
    <row r="210" spans="1:9" x14ac:dyDescent="0.25">
      <c r="A210" s="21" t="s">
        <v>191</v>
      </c>
      <c r="B210" s="21">
        <v>2017</v>
      </c>
      <c r="C210" s="21" t="s">
        <v>226</v>
      </c>
      <c r="D210" s="21" t="s">
        <v>8</v>
      </c>
      <c r="E210" s="21" t="s">
        <v>9</v>
      </c>
      <c r="F210" s="22">
        <v>15968301</v>
      </c>
      <c r="G210" s="6"/>
      <c r="H210" s="6"/>
      <c r="I210" s="6"/>
    </row>
    <row r="211" spans="1:9" x14ac:dyDescent="0.25">
      <c r="A211" s="21" t="s">
        <v>227</v>
      </c>
      <c r="B211" s="21">
        <v>2017</v>
      </c>
      <c r="C211" s="21" t="s">
        <v>385</v>
      </c>
      <c r="D211" s="21" t="s">
        <v>8</v>
      </c>
      <c r="E211" s="21" t="s">
        <v>58</v>
      </c>
      <c r="F211" s="22">
        <v>15394218</v>
      </c>
      <c r="G211" s="6"/>
      <c r="H211" s="6"/>
      <c r="I211" s="6"/>
    </row>
    <row r="212" spans="1:9" x14ac:dyDescent="0.25">
      <c r="A212" s="21" t="s">
        <v>227</v>
      </c>
      <c r="B212" s="21">
        <v>2017</v>
      </c>
      <c r="C212" s="21" t="s">
        <v>228</v>
      </c>
      <c r="D212" s="21" t="s">
        <v>8</v>
      </c>
      <c r="E212" s="21" t="s">
        <v>229</v>
      </c>
      <c r="F212" s="22">
        <v>13150000</v>
      </c>
      <c r="G212" s="6"/>
      <c r="H212" s="6"/>
      <c r="I212" s="6"/>
    </row>
    <row r="213" spans="1:9" x14ac:dyDescent="0.25">
      <c r="A213" s="21" t="s">
        <v>227</v>
      </c>
      <c r="B213" s="21">
        <v>2017</v>
      </c>
      <c r="C213" s="21" t="s">
        <v>230</v>
      </c>
      <c r="D213" s="21" t="s">
        <v>8</v>
      </c>
      <c r="E213" s="21" t="s">
        <v>49</v>
      </c>
      <c r="F213" s="22">
        <v>26416758</v>
      </c>
      <c r="G213" s="6"/>
      <c r="H213" s="6"/>
      <c r="I213" s="6"/>
    </row>
    <row r="214" spans="1:9" x14ac:dyDescent="0.25">
      <c r="A214" s="21" t="s">
        <v>227</v>
      </c>
      <c r="B214" s="21">
        <v>2017</v>
      </c>
      <c r="C214" s="21" t="s">
        <v>231</v>
      </c>
      <c r="D214" s="21" t="s">
        <v>8</v>
      </c>
      <c r="E214" s="21" t="s">
        <v>58</v>
      </c>
      <c r="F214" s="22">
        <v>20613000</v>
      </c>
      <c r="G214" s="6"/>
      <c r="H214" s="6"/>
      <c r="I214" s="6"/>
    </row>
    <row r="215" spans="1:9" x14ac:dyDescent="0.25">
      <c r="A215" s="21" t="s">
        <v>249</v>
      </c>
      <c r="B215" s="21">
        <v>2016</v>
      </c>
      <c r="C215" s="21" t="s">
        <v>265</v>
      </c>
      <c r="D215" s="146" t="s">
        <v>19</v>
      </c>
      <c r="E215" s="146" t="s">
        <v>266</v>
      </c>
      <c r="F215" s="147">
        <v>13840000</v>
      </c>
      <c r="G215" s="6"/>
      <c r="H215" s="6"/>
      <c r="I215" s="6"/>
    </row>
    <row r="216" spans="1:9" x14ac:dyDescent="0.25">
      <c r="A216" s="21" t="s">
        <v>249</v>
      </c>
      <c r="B216" s="21">
        <v>2015</v>
      </c>
      <c r="C216" s="21" t="s">
        <v>267</v>
      </c>
      <c r="D216" s="21" t="s">
        <v>8</v>
      </c>
      <c r="E216" s="21" t="s">
        <v>11</v>
      </c>
      <c r="F216" s="22">
        <v>61494549</v>
      </c>
      <c r="G216" s="6"/>
      <c r="H216" s="6"/>
      <c r="I216" s="6"/>
    </row>
    <row r="217" spans="1:9" x14ac:dyDescent="0.25">
      <c r="A217" s="21" t="s">
        <v>249</v>
      </c>
      <c r="B217" s="21">
        <v>2017</v>
      </c>
      <c r="C217" s="21" t="s">
        <v>268</v>
      </c>
      <c r="D217" s="21" t="s">
        <v>8</v>
      </c>
      <c r="E217" s="21" t="s">
        <v>58</v>
      </c>
      <c r="F217" s="22">
        <v>61500000</v>
      </c>
      <c r="G217" s="6"/>
      <c r="H217" s="6"/>
      <c r="I217" s="6"/>
    </row>
    <row r="218" spans="1:9" x14ac:dyDescent="0.25">
      <c r="A218" s="21" t="s">
        <v>269</v>
      </c>
      <c r="B218" s="21">
        <v>2015</v>
      </c>
      <c r="C218" s="21" t="s">
        <v>274</v>
      </c>
      <c r="D218" s="21" t="s">
        <v>8</v>
      </c>
      <c r="E218" s="21" t="s">
        <v>9</v>
      </c>
      <c r="F218" s="22">
        <v>19521343</v>
      </c>
      <c r="G218" s="6"/>
      <c r="H218" s="6"/>
      <c r="I218" s="6"/>
    </row>
    <row r="219" spans="1:9" x14ac:dyDescent="0.25">
      <c r="A219" s="21" t="s">
        <v>269</v>
      </c>
      <c r="B219" s="21">
        <v>2015</v>
      </c>
      <c r="C219" s="21" t="s">
        <v>275</v>
      </c>
      <c r="D219" s="21" t="s">
        <v>8</v>
      </c>
      <c r="E219" s="21" t="s">
        <v>75</v>
      </c>
      <c r="F219" s="22">
        <v>33201000</v>
      </c>
      <c r="G219" s="6"/>
      <c r="H219" s="6"/>
      <c r="I219" s="6"/>
    </row>
    <row r="220" spans="1:9" x14ac:dyDescent="0.25">
      <c r="A220" s="21" t="s">
        <v>269</v>
      </c>
      <c r="B220" s="21">
        <v>2017</v>
      </c>
      <c r="C220" s="21" t="s">
        <v>276</v>
      </c>
      <c r="D220" s="21" t="s">
        <v>8</v>
      </c>
      <c r="E220" s="21" t="s">
        <v>11</v>
      </c>
      <c r="F220" s="22">
        <v>43275000</v>
      </c>
      <c r="G220" s="6"/>
      <c r="H220" s="6"/>
      <c r="I220" s="6"/>
    </row>
    <row r="221" spans="1:9" x14ac:dyDescent="0.25">
      <c r="A221" s="21" t="s">
        <v>277</v>
      </c>
      <c r="B221" s="21">
        <v>2016</v>
      </c>
      <c r="C221" s="21" t="s">
        <v>291</v>
      </c>
      <c r="D221" s="21" t="s">
        <v>8</v>
      </c>
      <c r="E221" s="21" t="s">
        <v>9</v>
      </c>
      <c r="F221" s="22">
        <v>19463177</v>
      </c>
      <c r="G221" s="6"/>
      <c r="H221" s="6"/>
      <c r="I221" s="6"/>
    </row>
    <row r="222" spans="1:9" x14ac:dyDescent="0.25">
      <c r="A222" s="21" t="s">
        <v>277</v>
      </c>
      <c r="B222" s="21">
        <v>2016</v>
      </c>
      <c r="C222" s="21" t="s">
        <v>407</v>
      </c>
      <c r="D222" s="21" t="s">
        <v>8</v>
      </c>
      <c r="E222" s="21" t="s">
        <v>11</v>
      </c>
      <c r="F222" s="22">
        <v>15600000</v>
      </c>
      <c r="G222" s="6"/>
      <c r="H222" s="6"/>
      <c r="I222" s="6"/>
    </row>
    <row r="223" spans="1:9" x14ac:dyDescent="0.25">
      <c r="A223" s="21" t="s">
        <v>277</v>
      </c>
      <c r="B223" s="21">
        <v>2016</v>
      </c>
      <c r="C223" s="21" t="s">
        <v>406</v>
      </c>
      <c r="D223" s="21" t="s">
        <v>8</v>
      </c>
      <c r="E223" s="21" t="s">
        <v>405</v>
      </c>
      <c r="F223" s="22">
        <v>30254000</v>
      </c>
      <c r="G223" s="6"/>
      <c r="H223" s="6"/>
      <c r="I223" s="6"/>
    </row>
    <row r="224" spans="1:9" x14ac:dyDescent="0.25">
      <c r="A224" s="21" t="s">
        <v>277</v>
      </c>
      <c r="B224" s="21">
        <v>2017</v>
      </c>
      <c r="C224" s="21" t="s">
        <v>292</v>
      </c>
      <c r="D224" s="21" t="s">
        <v>8</v>
      </c>
      <c r="E224" s="21" t="s">
        <v>178</v>
      </c>
      <c r="F224" s="22">
        <v>118503000</v>
      </c>
      <c r="G224" s="6"/>
      <c r="H224" s="6"/>
      <c r="I224" s="6"/>
    </row>
    <row r="225" spans="1:13" x14ac:dyDescent="0.25">
      <c r="A225" s="21" t="s">
        <v>277</v>
      </c>
      <c r="B225" s="21">
        <v>2017</v>
      </c>
      <c r="C225" s="193" t="s">
        <v>293</v>
      </c>
      <c r="D225" s="21" t="s">
        <v>8</v>
      </c>
      <c r="E225" s="21" t="s">
        <v>58</v>
      </c>
      <c r="F225" s="22">
        <v>22613000</v>
      </c>
      <c r="G225" s="6"/>
      <c r="H225" s="6"/>
      <c r="I225" s="6"/>
    </row>
    <row r="226" spans="1:13" ht="15.75" thickBot="1" x14ac:dyDescent="0.3">
      <c r="A226" s="6"/>
      <c r="B226" s="6"/>
      <c r="C226" s="194">
        <f>COUNTA(C183:C225)</f>
        <v>43</v>
      </c>
      <c r="D226" s="6"/>
      <c r="E226" s="6"/>
      <c r="F226" s="131">
        <f>SUM(F183:F225)</f>
        <v>1331797409</v>
      </c>
      <c r="G226" s="6"/>
      <c r="H226" s="6"/>
      <c r="I226" s="6"/>
    </row>
    <row r="227" spans="1:13" ht="15.75" thickTop="1" x14ac:dyDescent="0.25">
      <c r="C227">
        <f>C179+C226</f>
        <v>219</v>
      </c>
      <c r="F227" s="84">
        <f>F179+F226</f>
        <v>5045848622</v>
      </c>
    </row>
    <row r="229" spans="1:13" ht="15.75" thickBot="1" x14ac:dyDescent="0.3"/>
    <row r="230" spans="1:13" ht="19.5" thickBot="1" x14ac:dyDescent="0.35">
      <c r="A230" s="212" t="s">
        <v>369</v>
      </c>
      <c r="B230" s="213"/>
      <c r="C230" s="213"/>
      <c r="D230" s="213"/>
      <c r="E230" s="213"/>
      <c r="F230" s="214"/>
      <c r="I230" s="212" t="s">
        <v>369</v>
      </c>
      <c r="J230" s="213"/>
      <c r="K230" s="213"/>
      <c r="L230" s="213"/>
      <c r="M230" s="214"/>
    </row>
    <row r="231" spans="1:13" ht="15.75" x14ac:dyDescent="0.25">
      <c r="A231" s="3" t="s">
        <v>0</v>
      </c>
      <c r="B231" s="3" t="s">
        <v>1</v>
      </c>
      <c r="C231" s="3" t="s">
        <v>2</v>
      </c>
      <c r="D231" s="3" t="s">
        <v>3</v>
      </c>
      <c r="E231" s="3" t="s">
        <v>4</v>
      </c>
      <c r="F231" s="4" t="s">
        <v>5</v>
      </c>
      <c r="I231" s="23"/>
      <c r="J231" s="6"/>
      <c r="K231" s="5" t="s">
        <v>312</v>
      </c>
      <c r="L231" s="5" t="s">
        <v>313</v>
      </c>
      <c r="M231" s="24" t="s">
        <v>314</v>
      </c>
    </row>
    <row r="232" spans="1:13" x14ac:dyDescent="0.25">
      <c r="A232" t="s">
        <v>269</v>
      </c>
      <c r="B232">
        <v>2018</v>
      </c>
      <c r="C232" t="s">
        <v>363</v>
      </c>
      <c r="D232" t="s">
        <v>8</v>
      </c>
      <c r="E232" t="s">
        <v>11</v>
      </c>
      <c r="F232" s="1">
        <v>44188000</v>
      </c>
      <c r="I232" s="25" t="s">
        <v>315</v>
      </c>
      <c r="J232" s="6">
        <f t="shared" ref="J232:K234" si="2">J17</f>
        <v>43</v>
      </c>
      <c r="K232" s="7">
        <f t="shared" si="2"/>
        <v>1275155131</v>
      </c>
      <c r="L232" s="6"/>
      <c r="M232" s="26"/>
    </row>
    <row r="233" spans="1:13" x14ac:dyDescent="0.25">
      <c r="A233" t="s">
        <v>104</v>
      </c>
      <c r="B233">
        <v>2018</v>
      </c>
      <c r="C233" t="s">
        <v>371</v>
      </c>
      <c r="D233" t="s">
        <v>8</v>
      </c>
      <c r="E233" t="s">
        <v>75</v>
      </c>
      <c r="F233" s="1">
        <v>22708530</v>
      </c>
      <c r="I233" s="25" t="s">
        <v>316</v>
      </c>
      <c r="J233" s="6">
        <f t="shared" si="2"/>
        <v>32</v>
      </c>
      <c r="K233" s="7">
        <f t="shared" si="2"/>
        <v>1165497673</v>
      </c>
      <c r="L233" s="18">
        <f t="shared" ref="L233:M235" si="3">L18</f>
        <v>0.7441860465116279</v>
      </c>
      <c r="M233" s="29">
        <f t="shared" si="3"/>
        <v>0.91400461376491138</v>
      </c>
    </row>
    <row r="234" spans="1:13" ht="15.75" thickBot="1" x14ac:dyDescent="0.3">
      <c r="A234" t="s">
        <v>104</v>
      </c>
      <c r="B234">
        <v>2021</v>
      </c>
      <c r="C234" s="21" t="s">
        <v>372</v>
      </c>
      <c r="D234" t="s">
        <v>8</v>
      </c>
      <c r="E234" t="s">
        <v>52</v>
      </c>
      <c r="F234" s="1">
        <v>80500000</v>
      </c>
      <c r="I234" s="25" t="s">
        <v>317</v>
      </c>
      <c r="J234" s="6">
        <f t="shared" si="2"/>
        <v>11</v>
      </c>
      <c r="K234" s="32">
        <f t="shared" si="2"/>
        <v>109657458</v>
      </c>
      <c r="L234" s="30">
        <f t="shared" si="3"/>
        <v>0.2558139534883721</v>
      </c>
      <c r="M234" s="31">
        <f t="shared" si="3"/>
        <v>8.5995386235088594E-2</v>
      </c>
    </row>
    <row r="235" spans="1:13" ht="15.75" thickBot="1" x14ac:dyDescent="0.3">
      <c r="A235" t="s">
        <v>89</v>
      </c>
      <c r="B235">
        <v>2021</v>
      </c>
      <c r="C235" s="21" t="s">
        <v>376</v>
      </c>
      <c r="D235" t="s">
        <v>33</v>
      </c>
      <c r="E235" t="s">
        <v>69</v>
      </c>
      <c r="F235" s="1">
        <v>50619880</v>
      </c>
      <c r="I235" s="27"/>
      <c r="J235" s="28"/>
      <c r="K235" s="28"/>
      <c r="L235" s="30">
        <f t="shared" si="3"/>
        <v>1</v>
      </c>
      <c r="M235" s="31">
        <f t="shared" si="3"/>
        <v>1</v>
      </c>
    </row>
    <row r="236" spans="1:13" x14ac:dyDescent="0.25">
      <c r="A236" s="19" t="s">
        <v>23</v>
      </c>
      <c r="B236" s="19">
        <v>2019</v>
      </c>
      <c r="C236" s="19" t="s">
        <v>377</v>
      </c>
      <c r="D236" s="19" t="s">
        <v>8</v>
      </c>
      <c r="E236" s="19" t="s">
        <v>380</v>
      </c>
      <c r="F236" s="20">
        <v>11729047</v>
      </c>
      <c r="I236" s="6"/>
      <c r="J236" s="6"/>
      <c r="K236" s="6"/>
      <c r="L236" s="18"/>
      <c r="M236" s="18"/>
    </row>
    <row r="237" spans="1:13" x14ac:dyDescent="0.25">
      <c r="A237" s="19" t="s">
        <v>23</v>
      </c>
      <c r="B237" s="19">
        <v>2018</v>
      </c>
      <c r="C237" s="19" t="s">
        <v>378</v>
      </c>
      <c r="D237" s="19" t="s">
        <v>8</v>
      </c>
      <c r="E237" s="19" t="s">
        <v>11</v>
      </c>
      <c r="F237" s="20">
        <v>45552547</v>
      </c>
      <c r="I237" s="6"/>
      <c r="J237" s="6"/>
      <c r="K237" s="6"/>
      <c r="L237" s="18"/>
      <c r="M237" s="18"/>
    </row>
    <row r="238" spans="1:13" x14ac:dyDescent="0.25">
      <c r="A238" s="19" t="s">
        <v>23</v>
      </c>
      <c r="B238" s="19">
        <v>2021</v>
      </c>
      <c r="C238" s="19" t="s">
        <v>379</v>
      </c>
      <c r="D238" s="19" t="s">
        <v>8</v>
      </c>
      <c r="E238" s="19" t="s">
        <v>11</v>
      </c>
      <c r="F238" s="20">
        <v>97578892</v>
      </c>
      <c r="I238" s="6"/>
      <c r="J238" s="6"/>
      <c r="K238" s="6"/>
      <c r="L238" s="18"/>
      <c r="M238" s="18"/>
    </row>
    <row r="239" spans="1:13" x14ac:dyDescent="0.25">
      <c r="A239" s="21" t="s">
        <v>189</v>
      </c>
      <c r="B239" s="21">
        <v>2018</v>
      </c>
      <c r="C239" s="21" t="s">
        <v>384</v>
      </c>
      <c r="D239" s="21" t="s">
        <v>8</v>
      </c>
      <c r="E239" s="21" t="s">
        <v>75</v>
      </c>
      <c r="F239" s="22">
        <v>7336670</v>
      </c>
      <c r="I239" s="6"/>
      <c r="J239" s="6"/>
      <c r="K239" s="6"/>
      <c r="L239" s="18"/>
      <c r="M239" s="18"/>
    </row>
    <row r="240" spans="1:13" x14ac:dyDescent="0.25">
      <c r="A240" t="s">
        <v>227</v>
      </c>
      <c r="B240">
        <v>2018</v>
      </c>
      <c r="C240" t="s">
        <v>386</v>
      </c>
      <c r="D240" s="126" t="s">
        <v>19</v>
      </c>
      <c r="E240" s="126" t="s">
        <v>239</v>
      </c>
      <c r="F240" s="118">
        <v>18702000</v>
      </c>
      <c r="I240" s="6"/>
      <c r="J240" s="6"/>
      <c r="K240" s="6"/>
      <c r="L240" s="18"/>
      <c r="M240" s="18"/>
    </row>
    <row r="241" spans="1:13" x14ac:dyDescent="0.25">
      <c r="A241" s="19" t="s">
        <v>227</v>
      </c>
      <c r="B241" s="19">
        <v>2018</v>
      </c>
      <c r="C241" s="19" t="s">
        <v>387</v>
      </c>
      <c r="D241" s="126" t="s">
        <v>19</v>
      </c>
      <c r="E241" s="126" t="s">
        <v>388</v>
      </c>
      <c r="F241" s="118">
        <v>12136212</v>
      </c>
      <c r="I241" s="6"/>
      <c r="J241" s="6"/>
      <c r="K241" s="6"/>
      <c r="L241" s="18"/>
      <c r="M241" s="18"/>
    </row>
    <row r="242" spans="1:13" x14ac:dyDescent="0.25">
      <c r="A242" s="21" t="s">
        <v>227</v>
      </c>
      <c r="B242" s="21">
        <v>2018</v>
      </c>
      <c r="C242" s="21" t="s">
        <v>390</v>
      </c>
      <c r="D242" s="21" t="s">
        <v>8</v>
      </c>
      <c r="E242" s="21" t="s">
        <v>75</v>
      </c>
      <c r="F242" s="22">
        <v>23058000</v>
      </c>
      <c r="I242" s="6"/>
      <c r="J242" s="6"/>
      <c r="K242" s="6"/>
      <c r="L242" s="18"/>
      <c r="M242" s="18"/>
    </row>
    <row r="243" spans="1:13" x14ac:dyDescent="0.25">
      <c r="A243" s="21" t="s">
        <v>227</v>
      </c>
      <c r="B243" s="21">
        <v>2017</v>
      </c>
      <c r="C243" s="21" t="s">
        <v>391</v>
      </c>
      <c r="D243" s="148" t="s">
        <v>19</v>
      </c>
      <c r="E243" s="148" t="s">
        <v>392</v>
      </c>
      <c r="F243" s="149">
        <v>14713173</v>
      </c>
      <c r="I243" s="6"/>
      <c r="J243" s="6"/>
      <c r="K243" s="6"/>
      <c r="L243" s="18"/>
      <c r="M243" s="18"/>
    </row>
    <row r="244" spans="1:13" x14ac:dyDescent="0.25">
      <c r="A244" s="21" t="s">
        <v>47</v>
      </c>
      <c r="B244" s="21">
        <v>2017</v>
      </c>
      <c r="C244" s="21" t="s">
        <v>393</v>
      </c>
      <c r="D244" s="21" t="s">
        <v>8</v>
      </c>
      <c r="E244" s="21" t="s">
        <v>9</v>
      </c>
      <c r="F244" s="22">
        <v>49740352</v>
      </c>
      <c r="I244" s="6"/>
      <c r="J244" s="6"/>
      <c r="K244" s="6"/>
      <c r="L244" s="18"/>
      <c r="M244" s="18"/>
    </row>
    <row r="245" spans="1:13" x14ac:dyDescent="0.25">
      <c r="A245" s="21" t="s">
        <v>47</v>
      </c>
      <c r="B245" s="21">
        <v>2018</v>
      </c>
      <c r="C245" s="21" t="s">
        <v>394</v>
      </c>
      <c r="D245" s="21" t="s">
        <v>33</v>
      </c>
      <c r="E245" s="21" t="s">
        <v>75</v>
      </c>
      <c r="F245" s="22">
        <v>12075000</v>
      </c>
      <c r="I245" s="6"/>
      <c r="J245" s="6"/>
      <c r="K245" s="6"/>
      <c r="L245" s="18"/>
      <c r="M245" s="18"/>
    </row>
    <row r="246" spans="1:13" x14ac:dyDescent="0.25">
      <c r="A246" s="21" t="s">
        <v>47</v>
      </c>
      <c r="B246" s="21">
        <v>2018</v>
      </c>
      <c r="C246" s="21" t="s">
        <v>395</v>
      </c>
      <c r="D246" s="148" t="s">
        <v>19</v>
      </c>
      <c r="E246" s="148" t="s">
        <v>61</v>
      </c>
      <c r="F246" s="149">
        <v>6164000</v>
      </c>
      <c r="I246" s="6"/>
      <c r="J246" s="6"/>
      <c r="K246" s="6"/>
      <c r="L246" s="18"/>
      <c r="M246" s="18"/>
    </row>
    <row r="247" spans="1:13" x14ac:dyDescent="0.25">
      <c r="A247" s="21" t="s">
        <v>47</v>
      </c>
      <c r="B247" s="21">
        <v>2018</v>
      </c>
      <c r="C247" s="21" t="s">
        <v>396</v>
      </c>
      <c r="D247" s="21" t="s">
        <v>8</v>
      </c>
      <c r="E247" s="21" t="s">
        <v>69</v>
      </c>
      <c r="F247" s="22">
        <v>36010447</v>
      </c>
      <c r="I247" s="6"/>
      <c r="J247" s="6"/>
      <c r="K247" s="6"/>
      <c r="L247" s="18"/>
      <c r="M247" s="18"/>
    </row>
    <row r="248" spans="1:13" x14ac:dyDescent="0.25">
      <c r="A248" s="21" t="s">
        <v>119</v>
      </c>
      <c r="B248" s="21">
        <v>2017</v>
      </c>
      <c r="C248" s="21" t="s">
        <v>397</v>
      </c>
      <c r="D248" s="21" t="s">
        <v>8</v>
      </c>
      <c r="E248" s="21" t="s">
        <v>49</v>
      </c>
      <c r="F248" s="7">
        <v>24280680</v>
      </c>
    </row>
    <row r="249" spans="1:13" x14ac:dyDescent="0.25">
      <c r="A249" s="21" t="s">
        <v>119</v>
      </c>
      <c r="B249" s="21">
        <v>2019</v>
      </c>
      <c r="C249" s="21" t="s">
        <v>398</v>
      </c>
      <c r="D249" s="21" t="s">
        <v>8</v>
      </c>
      <c r="E249" s="21" t="s">
        <v>58</v>
      </c>
      <c r="F249" s="7">
        <v>19311522</v>
      </c>
    </row>
    <row r="250" spans="1:13" x14ac:dyDescent="0.25">
      <c r="A250" s="21" t="s">
        <v>119</v>
      </c>
      <c r="B250" s="21">
        <v>2020</v>
      </c>
      <c r="C250" s="21" t="s">
        <v>399</v>
      </c>
      <c r="D250" s="21" t="s">
        <v>8</v>
      </c>
      <c r="E250" s="21" t="s">
        <v>11</v>
      </c>
      <c r="F250" s="7">
        <v>23201260</v>
      </c>
    </row>
    <row r="251" spans="1:13" x14ac:dyDescent="0.25">
      <c r="A251" s="21" t="s">
        <v>119</v>
      </c>
      <c r="B251" s="21">
        <v>2020</v>
      </c>
      <c r="C251" s="21" t="s">
        <v>400</v>
      </c>
      <c r="D251" s="21" t="s">
        <v>8</v>
      </c>
      <c r="E251" s="21" t="s">
        <v>58</v>
      </c>
      <c r="F251" s="7">
        <v>17901615</v>
      </c>
    </row>
    <row r="252" spans="1:13" x14ac:dyDescent="0.25">
      <c r="A252" s="176" t="s">
        <v>277</v>
      </c>
      <c r="B252" s="176">
        <v>2018</v>
      </c>
      <c r="C252" s="176" t="s">
        <v>403</v>
      </c>
      <c r="D252" s="176" t="s">
        <v>8</v>
      </c>
      <c r="E252" s="176" t="s">
        <v>178</v>
      </c>
      <c r="F252" s="177">
        <v>5821504</v>
      </c>
    </row>
    <row r="253" spans="1:13" x14ac:dyDescent="0.25">
      <c r="A253" s="176" t="s">
        <v>277</v>
      </c>
      <c r="B253" s="176">
        <v>2020</v>
      </c>
      <c r="C253" s="176" t="s">
        <v>402</v>
      </c>
      <c r="D253" s="176" t="s">
        <v>8</v>
      </c>
      <c r="E253" s="176" t="s">
        <v>11</v>
      </c>
      <c r="F253" s="177">
        <v>122718484</v>
      </c>
    </row>
    <row r="254" spans="1:13" x14ac:dyDescent="0.25">
      <c r="A254" s="176" t="s">
        <v>277</v>
      </c>
      <c r="B254" s="176">
        <v>2020</v>
      </c>
      <c r="C254" s="176" t="s">
        <v>404</v>
      </c>
      <c r="D254" s="176" t="s">
        <v>8</v>
      </c>
      <c r="E254" s="176" t="s">
        <v>58</v>
      </c>
      <c r="F254" s="177">
        <v>33738315</v>
      </c>
    </row>
    <row r="255" spans="1:13" x14ac:dyDescent="0.25">
      <c r="A255" s="176" t="s">
        <v>277</v>
      </c>
      <c r="B255" s="176">
        <v>2019</v>
      </c>
      <c r="C255" s="176" t="s">
        <v>408</v>
      </c>
      <c r="D255" s="176" t="s">
        <v>8</v>
      </c>
      <c r="E255" s="176" t="s">
        <v>58</v>
      </c>
      <c r="F255" s="177">
        <v>15775385</v>
      </c>
    </row>
    <row r="256" spans="1:13" x14ac:dyDescent="0.25">
      <c r="A256" s="176" t="s">
        <v>277</v>
      </c>
      <c r="B256" s="176">
        <v>2021</v>
      </c>
      <c r="C256" s="176" t="s">
        <v>409</v>
      </c>
      <c r="D256" s="176" t="s">
        <v>8</v>
      </c>
      <c r="E256" s="176" t="s">
        <v>52</v>
      </c>
      <c r="F256" s="177">
        <v>69914000</v>
      </c>
    </row>
    <row r="257" spans="1:6" x14ac:dyDescent="0.25">
      <c r="A257" s="176" t="s">
        <v>277</v>
      </c>
      <c r="B257" s="176">
        <v>2021</v>
      </c>
      <c r="C257" s="176" t="s">
        <v>410</v>
      </c>
      <c r="D257" s="176" t="s">
        <v>8</v>
      </c>
      <c r="E257" s="176" t="s">
        <v>58</v>
      </c>
      <c r="F257" s="177">
        <v>34500000</v>
      </c>
    </row>
    <row r="258" spans="1:6" x14ac:dyDescent="0.25">
      <c r="A258" s="21" t="s">
        <v>94</v>
      </c>
      <c r="B258" s="21">
        <v>2017</v>
      </c>
      <c r="C258" s="21" t="s">
        <v>415</v>
      </c>
      <c r="D258" s="21" t="s">
        <v>8</v>
      </c>
      <c r="E258" s="21" t="s">
        <v>9</v>
      </c>
      <c r="F258" s="22">
        <v>47788191</v>
      </c>
    </row>
    <row r="259" spans="1:6" x14ac:dyDescent="0.25">
      <c r="A259" s="21" t="s">
        <v>94</v>
      </c>
      <c r="B259" s="21">
        <v>2017</v>
      </c>
      <c r="C259" s="21" t="s">
        <v>413</v>
      </c>
      <c r="D259" s="21" t="s">
        <v>8</v>
      </c>
      <c r="E259" s="21" t="s">
        <v>9</v>
      </c>
      <c r="F259" s="22">
        <v>60236552</v>
      </c>
    </row>
    <row r="260" spans="1:6" x14ac:dyDescent="0.25">
      <c r="A260" s="21" t="s">
        <v>94</v>
      </c>
      <c r="B260" s="21">
        <v>2017</v>
      </c>
      <c r="C260" s="21" t="s">
        <v>414</v>
      </c>
      <c r="D260" s="21" t="s">
        <v>8</v>
      </c>
      <c r="E260" s="21" t="s">
        <v>69</v>
      </c>
      <c r="F260" s="22">
        <v>59609247</v>
      </c>
    </row>
    <row r="261" spans="1:6" x14ac:dyDescent="0.25">
      <c r="A261" s="21" t="s">
        <v>249</v>
      </c>
      <c r="B261" s="21">
        <v>2017</v>
      </c>
      <c r="C261" s="21" t="s">
        <v>416</v>
      </c>
      <c r="D261" s="21" t="s">
        <v>8</v>
      </c>
      <c r="E261" s="21" t="s">
        <v>58</v>
      </c>
      <c r="F261" s="22">
        <v>5340786</v>
      </c>
    </row>
    <row r="262" spans="1:6" x14ac:dyDescent="0.25">
      <c r="A262" s="21" t="s">
        <v>249</v>
      </c>
      <c r="B262" s="21">
        <v>2019</v>
      </c>
      <c r="C262" s="21" t="s">
        <v>417</v>
      </c>
      <c r="D262" s="148" t="s">
        <v>19</v>
      </c>
      <c r="E262" s="148" t="s">
        <v>266</v>
      </c>
      <c r="F262" s="149">
        <v>5699751</v>
      </c>
    </row>
    <row r="263" spans="1:6" x14ac:dyDescent="0.25">
      <c r="A263" s="21" t="s">
        <v>249</v>
      </c>
      <c r="B263" s="21">
        <v>2020</v>
      </c>
      <c r="C263" s="21" t="s">
        <v>418</v>
      </c>
      <c r="D263" s="21" t="s">
        <v>8</v>
      </c>
      <c r="E263" s="21" t="s">
        <v>229</v>
      </c>
      <c r="F263" s="22">
        <v>94248688</v>
      </c>
    </row>
    <row r="264" spans="1:6" x14ac:dyDescent="0.25">
      <c r="A264" s="21" t="s">
        <v>249</v>
      </c>
      <c r="B264" s="21">
        <v>2019</v>
      </c>
      <c r="C264" s="21" t="s">
        <v>419</v>
      </c>
      <c r="D264" s="148" t="s">
        <v>19</v>
      </c>
      <c r="E264" s="148" t="s">
        <v>420</v>
      </c>
      <c r="F264" s="149">
        <v>5550474</v>
      </c>
    </row>
    <row r="265" spans="1:6" x14ac:dyDescent="0.25">
      <c r="A265" s="21" t="s">
        <v>73</v>
      </c>
      <c r="B265" s="21">
        <v>2018</v>
      </c>
      <c r="C265" s="21" t="s">
        <v>422</v>
      </c>
      <c r="D265" s="148" t="s">
        <v>19</v>
      </c>
      <c r="E265" s="148" t="s">
        <v>424</v>
      </c>
      <c r="F265" s="149">
        <v>7858846</v>
      </c>
    </row>
    <row r="266" spans="1:6" x14ac:dyDescent="0.25">
      <c r="A266" s="21" t="s">
        <v>73</v>
      </c>
      <c r="B266" s="21">
        <v>2018</v>
      </c>
      <c r="C266" s="21" t="s">
        <v>423</v>
      </c>
      <c r="D266" s="148" t="s">
        <v>19</v>
      </c>
      <c r="E266" s="148" t="s">
        <v>424</v>
      </c>
      <c r="F266" s="149">
        <v>16279217</v>
      </c>
    </row>
    <row r="267" spans="1:6" x14ac:dyDescent="0.25">
      <c r="A267" s="21" t="s">
        <v>73</v>
      </c>
      <c r="B267" s="21">
        <v>2020</v>
      </c>
      <c r="C267" s="21" t="s">
        <v>425</v>
      </c>
      <c r="D267" s="148" t="s">
        <v>19</v>
      </c>
      <c r="E267" s="148" t="s">
        <v>426</v>
      </c>
      <c r="F267" s="149">
        <v>5192800</v>
      </c>
    </row>
    <row r="268" spans="1:6" x14ac:dyDescent="0.25">
      <c r="A268" s="21" t="s">
        <v>129</v>
      </c>
      <c r="B268" s="21">
        <v>2017</v>
      </c>
      <c r="C268" s="21" t="s">
        <v>427</v>
      </c>
      <c r="D268" s="21" t="s">
        <v>8</v>
      </c>
      <c r="E268" s="21" t="s">
        <v>428</v>
      </c>
      <c r="F268" s="22">
        <v>6042602</v>
      </c>
    </row>
    <row r="269" spans="1:6" x14ac:dyDescent="0.25">
      <c r="A269" s="21" t="s">
        <v>129</v>
      </c>
      <c r="B269" s="21">
        <v>2017</v>
      </c>
      <c r="C269" s="21" t="s">
        <v>429</v>
      </c>
      <c r="D269" s="21" t="s">
        <v>33</v>
      </c>
      <c r="E269" s="21" t="s">
        <v>430</v>
      </c>
      <c r="F269" s="22">
        <v>6518658</v>
      </c>
    </row>
    <row r="270" spans="1:6" x14ac:dyDescent="0.25">
      <c r="A270" s="21" t="s">
        <v>129</v>
      </c>
      <c r="B270" s="21">
        <v>2017</v>
      </c>
      <c r="C270" s="21" t="s">
        <v>431</v>
      </c>
      <c r="D270" s="21" t="s">
        <v>8</v>
      </c>
      <c r="E270" s="21" t="s">
        <v>432</v>
      </c>
      <c r="F270" s="22">
        <v>7285505</v>
      </c>
    </row>
    <row r="271" spans="1:6" x14ac:dyDescent="0.25">
      <c r="A271" s="21" t="s">
        <v>129</v>
      </c>
      <c r="B271" s="21">
        <v>2018</v>
      </c>
      <c r="C271" s="21" t="s">
        <v>433</v>
      </c>
      <c r="D271" s="21" t="s">
        <v>8</v>
      </c>
      <c r="E271" s="21" t="s">
        <v>58</v>
      </c>
      <c r="F271" s="22">
        <v>10513253</v>
      </c>
    </row>
    <row r="272" spans="1:6" x14ac:dyDescent="0.25">
      <c r="A272" s="21" t="s">
        <v>129</v>
      </c>
      <c r="B272" s="21">
        <v>2018</v>
      </c>
      <c r="C272" s="21" t="s">
        <v>434</v>
      </c>
      <c r="D272" s="21" t="s">
        <v>8</v>
      </c>
      <c r="E272" s="21" t="s">
        <v>424</v>
      </c>
      <c r="F272" s="22">
        <v>19654061</v>
      </c>
    </row>
    <row r="273" spans="1:6" x14ac:dyDescent="0.25">
      <c r="A273" s="21" t="s">
        <v>129</v>
      </c>
      <c r="B273" s="21">
        <v>2019</v>
      </c>
      <c r="C273" s="21" t="s">
        <v>435</v>
      </c>
      <c r="D273" s="148" t="s">
        <v>19</v>
      </c>
      <c r="E273" s="148" t="s">
        <v>143</v>
      </c>
      <c r="F273" s="149">
        <v>11871111</v>
      </c>
    </row>
    <row r="274" spans="1:6" x14ac:dyDescent="0.25">
      <c r="A274" s="21" t="s">
        <v>129</v>
      </c>
      <c r="B274" s="21">
        <v>2019</v>
      </c>
      <c r="C274" s="21" t="s">
        <v>436</v>
      </c>
      <c r="D274" s="148" t="s">
        <v>19</v>
      </c>
      <c r="E274" s="148" t="s">
        <v>445</v>
      </c>
      <c r="F274" s="149">
        <v>5489874</v>
      </c>
    </row>
    <row r="275" spans="1:6" x14ac:dyDescent="0.25">
      <c r="F275" s="1"/>
    </row>
    <row r="276" spans="1:6" x14ac:dyDescent="0.25">
      <c r="C276" s="5"/>
    </row>
    <row r="277" spans="1:6" ht="15.75" thickBot="1" x14ac:dyDescent="0.3">
      <c r="C277" s="195">
        <f>COUNTA(C232:C275)</f>
        <v>43</v>
      </c>
      <c r="F277" s="131">
        <f>SUM(F232:F276)</f>
        <v>1275155131</v>
      </c>
    </row>
    <row r="278" spans="1:6" ht="15.75" thickTop="1" x14ac:dyDescent="0.25">
      <c r="C278">
        <f>C227+C277</f>
        <v>262</v>
      </c>
      <c r="F278" s="84">
        <f>F227+F277</f>
        <v>6321003753</v>
      </c>
    </row>
  </sheetData>
  <mergeCells count="10">
    <mergeCell ref="A230:F230"/>
    <mergeCell ref="I230:M230"/>
    <mergeCell ref="A1:F1"/>
    <mergeCell ref="I1:M1"/>
    <mergeCell ref="A181:F181"/>
    <mergeCell ref="I8:M8"/>
    <mergeCell ref="I15:M15"/>
    <mergeCell ref="I181:M181"/>
    <mergeCell ref="H1:H13"/>
    <mergeCell ref="I22:M22"/>
  </mergeCells>
  <pageMargins left="0.25" right="0.25" top="0.75" bottom="0.75" header="0.3" footer="0.3"/>
  <pageSetup paperSize="5" scale="63" fitToHeight="0" orientation="landscape" r:id="rId1"/>
  <headerFooter>
    <oddHeader>&amp;C&amp;"-,Bold"&amp;12FORMER DATA vs. NEW DATA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304"/>
  <sheetViews>
    <sheetView zoomScaleNormal="100" zoomScalePageLayoutView="90" workbookViewId="0">
      <selection activeCell="J280" sqref="J280"/>
    </sheetView>
  </sheetViews>
  <sheetFormatPr defaultRowHeight="15" outlineLevelRow="2" outlineLevelCol="1" x14ac:dyDescent="0.25"/>
  <cols>
    <col min="1" max="1" width="13.7109375" bestFit="1" customWidth="1"/>
    <col min="2" max="2" width="14.7109375" bestFit="1" customWidth="1"/>
    <col min="3" max="3" width="81.28515625" bestFit="1" customWidth="1"/>
    <col min="4" max="4" width="23.42578125" bestFit="1" customWidth="1"/>
    <col min="5" max="5" width="13" style="9" customWidth="1"/>
    <col min="6" max="6" width="34" style="9" customWidth="1" outlineLevel="1"/>
    <col min="7" max="7" width="13.85546875" style="9" bestFit="1" customWidth="1"/>
    <col min="8" max="8" width="13.85546875" bestFit="1" customWidth="1"/>
    <col min="9" max="9" width="11.5703125" style="16" bestFit="1" customWidth="1"/>
  </cols>
  <sheetData>
    <row r="1" spans="1:9" ht="47.25" x14ac:dyDescent="0.25">
      <c r="A1" s="10" t="s">
        <v>0</v>
      </c>
      <c r="B1" s="10" t="s">
        <v>1</v>
      </c>
      <c r="C1" s="10" t="s">
        <v>315</v>
      </c>
      <c r="D1" s="12" t="s">
        <v>304</v>
      </c>
      <c r="E1" s="11" t="s">
        <v>297</v>
      </c>
      <c r="F1" s="10" t="s">
        <v>4</v>
      </c>
      <c r="G1" s="13" t="s">
        <v>298</v>
      </c>
      <c r="H1" s="12" t="s">
        <v>295</v>
      </c>
      <c r="I1" s="15" t="s">
        <v>299</v>
      </c>
    </row>
    <row r="2" spans="1:9" outlineLevel="1" x14ac:dyDescent="0.25">
      <c r="A2" t="s">
        <v>47</v>
      </c>
      <c r="B2" s="8">
        <v>2008</v>
      </c>
      <c r="C2" t="s">
        <v>48</v>
      </c>
      <c r="D2" t="s">
        <v>8</v>
      </c>
      <c r="F2" t="s">
        <v>49</v>
      </c>
      <c r="G2" s="1">
        <v>18768000</v>
      </c>
    </row>
    <row r="3" spans="1:9" outlineLevel="1" x14ac:dyDescent="0.25">
      <c r="A3" t="s">
        <v>47</v>
      </c>
      <c r="B3" s="8">
        <v>2008</v>
      </c>
      <c r="C3" t="s">
        <v>60</v>
      </c>
      <c r="D3" t="s">
        <v>19</v>
      </c>
      <c r="F3" t="s">
        <v>61</v>
      </c>
      <c r="G3" s="1">
        <v>8618208</v>
      </c>
    </row>
    <row r="4" spans="1:9" outlineLevel="1" x14ac:dyDescent="0.25">
      <c r="A4" t="s">
        <v>73</v>
      </c>
      <c r="B4" s="8">
        <v>2008</v>
      </c>
      <c r="C4" t="s">
        <v>74</v>
      </c>
      <c r="D4" t="s">
        <v>19</v>
      </c>
      <c r="F4" t="s">
        <v>75</v>
      </c>
      <c r="G4" s="57">
        <v>12143450</v>
      </c>
    </row>
    <row r="5" spans="1:9" outlineLevel="1" x14ac:dyDescent="0.25">
      <c r="A5" t="s">
        <v>94</v>
      </c>
      <c r="B5" s="8">
        <v>2008</v>
      </c>
      <c r="C5" t="s">
        <v>99</v>
      </c>
      <c r="D5" t="s">
        <v>8</v>
      </c>
      <c r="F5" t="s">
        <v>9</v>
      </c>
      <c r="G5" s="1">
        <v>51016300</v>
      </c>
    </row>
    <row r="6" spans="1:9" outlineLevel="1" x14ac:dyDescent="0.25">
      <c r="A6" t="s">
        <v>129</v>
      </c>
      <c r="B6" s="8">
        <v>2008</v>
      </c>
      <c r="C6" t="s">
        <v>130</v>
      </c>
      <c r="D6" t="s">
        <v>8</v>
      </c>
      <c r="F6" t="s">
        <v>136</v>
      </c>
      <c r="G6" s="1">
        <v>5424879</v>
      </c>
    </row>
    <row r="7" spans="1:9" outlineLevel="1" x14ac:dyDescent="0.25">
      <c r="A7" t="s">
        <v>129</v>
      </c>
      <c r="B7" s="8">
        <v>2008</v>
      </c>
      <c r="C7" t="s">
        <v>131</v>
      </c>
      <c r="D7" t="s">
        <v>8</v>
      </c>
      <c r="F7" t="s">
        <v>136</v>
      </c>
      <c r="G7" s="1">
        <v>6059233</v>
      </c>
    </row>
    <row r="8" spans="1:9" outlineLevel="1" x14ac:dyDescent="0.25">
      <c r="A8" t="s">
        <v>129</v>
      </c>
      <c r="B8" s="8">
        <v>2008</v>
      </c>
      <c r="C8" t="s">
        <v>159</v>
      </c>
      <c r="D8" t="s">
        <v>8</v>
      </c>
      <c r="F8" t="s">
        <v>160</v>
      </c>
      <c r="G8" s="1">
        <v>6958920</v>
      </c>
    </row>
    <row r="9" spans="1:9" outlineLevel="1" x14ac:dyDescent="0.25">
      <c r="A9" t="s">
        <v>129</v>
      </c>
      <c r="B9" s="8">
        <v>2008</v>
      </c>
      <c r="C9" t="s">
        <v>161</v>
      </c>
      <c r="D9" t="s">
        <v>8</v>
      </c>
      <c r="F9" t="s">
        <v>134</v>
      </c>
      <c r="G9" s="1">
        <v>6387770</v>
      </c>
    </row>
    <row r="10" spans="1:9" outlineLevel="1" x14ac:dyDescent="0.25">
      <c r="A10" t="s">
        <v>129</v>
      </c>
      <c r="B10" s="8">
        <v>2008</v>
      </c>
      <c r="C10" t="s">
        <v>162</v>
      </c>
      <c r="D10" t="s">
        <v>8</v>
      </c>
      <c r="F10" t="s">
        <v>49</v>
      </c>
      <c r="G10" s="1">
        <v>25897000</v>
      </c>
    </row>
    <row r="11" spans="1:9" outlineLevel="1" x14ac:dyDescent="0.25">
      <c r="A11" t="s">
        <v>129</v>
      </c>
      <c r="B11" s="8">
        <v>2008</v>
      </c>
      <c r="C11" t="s">
        <v>163</v>
      </c>
      <c r="D11" t="s">
        <v>8</v>
      </c>
      <c r="F11" t="s">
        <v>164</v>
      </c>
      <c r="G11" s="1">
        <v>7542100</v>
      </c>
    </row>
    <row r="12" spans="1:9" outlineLevel="1" x14ac:dyDescent="0.25">
      <c r="A12" t="s">
        <v>129</v>
      </c>
      <c r="B12" s="8">
        <v>2008</v>
      </c>
      <c r="C12" t="s">
        <v>165</v>
      </c>
      <c r="D12" t="s">
        <v>8</v>
      </c>
      <c r="F12" t="s">
        <v>166</v>
      </c>
      <c r="G12" s="1">
        <v>5775000</v>
      </c>
    </row>
    <row r="13" spans="1:9" outlineLevel="1" x14ac:dyDescent="0.25">
      <c r="A13" t="s">
        <v>129</v>
      </c>
      <c r="B13" s="8">
        <v>2008</v>
      </c>
      <c r="C13" t="s">
        <v>176</v>
      </c>
      <c r="D13" t="s">
        <v>8</v>
      </c>
      <c r="F13" t="s">
        <v>9</v>
      </c>
      <c r="G13" s="1">
        <v>5879274</v>
      </c>
    </row>
    <row r="14" spans="1:9" outlineLevel="1" x14ac:dyDescent="0.25">
      <c r="A14" t="s">
        <v>129</v>
      </c>
      <c r="B14" s="8">
        <v>2008</v>
      </c>
      <c r="C14" t="s">
        <v>167</v>
      </c>
      <c r="D14" t="s">
        <v>8</v>
      </c>
      <c r="F14" t="s">
        <v>9</v>
      </c>
      <c r="G14" s="1">
        <v>6568767</v>
      </c>
    </row>
    <row r="15" spans="1:9" outlineLevel="1" x14ac:dyDescent="0.25">
      <c r="A15" t="s">
        <v>129</v>
      </c>
      <c r="B15" s="8">
        <v>2008</v>
      </c>
      <c r="C15" t="s">
        <v>168</v>
      </c>
      <c r="D15" t="s">
        <v>8</v>
      </c>
      <c r="F15" t="s">
        <v>136</v>
      </c>
      <c r="G15" s="1">
        <v>8173387</v>
      </c>
    </row>
    <row r="16" spans="1:9" outlineLevel="1" x14ac:dyDescent="0.25">
      <c r="A16" t="s">
        <v>129</v>
      </c>
      <c r="B16" s="8">
        <v>2008</v>
      </c>
      <c r="C16" t="s">
        <v>169</v>
      </c>
      <c r="D16" t="s">
        <v>8</v>
      </c>
      <c r="F16" t="s">
        <v>150</v>
      </c>
      <c r="G16" s="1">
        <v>6321025</v>
      </c>
    </row>
    <row r="17" spans="1:9" outlineLevel="1" x14ac:dyDescent="0.25">
      <c r="A17" t="s">
        <v>191</v>
      </c>
      <c r="B17" s="8">
        <v>2008</v>
      </c>
      <c r="C17" t="s">
        <v>102</v>
      </c>
      <c r="D17" t="s">
        <v>8</v>
      </c>
      <c r="F17" t="s">
        <v>11</v>
      </c>
      <c r="G17" s="1">
        <v>16190706</v>
      </c>
    </row>
    <row r="18" spans="1:9" outlineLevel="1" x14ac:dyDescent="0.25">
      <c r="A18" t="s">
        <v>191</v>
      </c>
      <c r="B18" s="8">
        <v>2008</v>
      </c>
      <c r="C18" t="s">
        <v>207</v>
      </c>
      <c r="D18" t="s">
        <v>19</v>
      </c>
      <c r="F18" t="s">
        <v>208</v>
      </c>
      <c r="G18" s="1">
        <v>11559955</v>
      </c>
    </row>
    <row r="19" spans="1:9" outlineLevel="1" x14ac:dyDescent="0.25">
      <c r="A19" t="s">
        <v>191</v>
      </c>
      <c r="B19" s="8">
        <v>2008</v>
      </c>
      <c r="C19" t="s">
        <v>209</v>
      </c>
      <c r="D19" t="s">
        <v>33</v>
      </c>
      <c r="F19" t="s">
        <v>136</v>
      </c>
      <c r="G19" s="1">
        <v>19548000</v>
      </c>
    </row>
    <row r="20" spans="1:9" outlineLevel="1" x14ac:dyDescent="0.25">
      <c r="A20" t="s">
        <v>277</v>
      </c>
      <c r="B20" s="8">
        <v>2008</v>
      </c>
      <c r="C20" t="s">
        <v>278</v>
      </c>
      <c r="D20" t="s">
        <v>8</v>
      </c>
      <c r="F20" t="s">
        <v>49</v>
      </c>
      <c r="G20" s="1">
        <v>8625147</v>
      </c>
    </row>
    <row r="21" spans="1:9" s="2" customFormat="1" x14ac:dyDescent="0.25">
      <c r="A21" s="40"/>
      <c r="B21" s="40" t="s">
        <v>296</v>
      </c>
      <c r="C21" s="40">
        <f>COUNTA(C2:C20)</f>
        <v>19</v>
      </c>
      <c r="D21" s="101">
        <f>E21/C21</f>
        <v>0.84210526315789469</v>
      </c>
      <c r="E21" s="105">
        <f>COUNTIF(D2:D20,"*CMAR*")+COUNTIF(D2:D20, "*Design/Build*")+COUNTIF(D2:D20, "*PPEA*")+COUNTIF(D2:D20, "*Competitive Negotiation*")+COUNTIF(D2:D20, "*Sole Source*")+COUNTIF(D2:D20,"*Internal*")+COUNTIF(D2:D20, "*Lease Capital*")</f>
        <v>16</v>
      </c>
      <c r="F21" s="105"/>
      <c r="G21" s="58">
        <f>SUM(G2:G20)</f>
        <v>237457121</v>
      </c>
      <c r="H21" s="58">
        <f>G21-(G3+G18+G4)</f>
        <v>205135508</v>
      </c>
      <c r="I21" s="67">
        <f>H21/G21</f>
        <v>0.86388442315865521</v>
      </c>
    </row>
    <row r="22" spans="1:9" outlineLevel="1" x14ac:dyDescent="0.25">
      <c r="A22" t="s">
        <v>23</v>
      </c>
      <c r="B22" s="8">
        <v>2009</v>
      </c>
      <c r="C22" t="s">
        <v>32</v>
      </c>
      <c r="D22" t="s">
        <v>33</v>
      </c>
      <c r="F22" t="s">
        <v>34</v>
      </c>
      <c r="G22" s="57">
        <v>17550000</v>
      </c>
      <c r="H22" s="52"/>
      <c r="I22" s="66"/>
    </row>
    <row r="23" spans="1:9" outlineLevel="1" x14ac:dyDescent="0.25">
      <c r="A23" t="s">
        <v>23</v>
      </c>
      <c r="B23" s="8">
        <v>2009</v>
      </c>
      <c r="C23" t="s">
        <v>43</v>
      </c>
      <c r="D23" t="s">
        <v>44</v>
      </c>
      <c r="F23" t="s">
        <v>45</v>
      </c>
      <c r="G23" s="57">
        <v>50292000</v>
      </c>
      <c r="H23" s="52"/>
      <c r="I23" s="66"/>
    </row>
    <row r="24" spans="1:9" outlineLevel="1" x14ac:dyDescent="0.25">
      <c r="A24" t="s">
        <v>47</v>
      </c>
      <c r="B24" s="8">
        <v>2009</v>
      </c>
      <c r="C24" t="s">
        <v>50</v>
      </c>
      <c r="D24" t="s">
        <v>8</v>
      </c>
      <c r="F24" t="s">
        <v>49</v>
      </c>
      <c r="G24" s="57">
        <v>53950000</v>
      </c>
      <c r="H24" s="52"/>
      <c r="I24" s="66"/>
    </row>
    <row r="25" spans="1:9" outlineLevel="1" x14ac:dyDescent="0.25">
      <c r="A25" t="s">
        <v>73</v>
      </c>
      <c r="B25" s="8">
        <v>2009</v>
      </c>
      <c r="C25" t="s">
        <v>76</v>
      </c>
      <c r="D25" t="s">
        <v>19</v>
      </c>
      <c r="F25" t="s">
        <v>77</v>
      </c>
      <c r="G25" s="57">
        <v>16519000</v>
      </c>
      <c r="H25" s="52"/>
      <c r="I25" s="66"/>
    </row>
    <row r="26" spans="1:9" outlineLevel="1" x14ac:dyDescent="0.25">
      <c r="A26" s="6" t="s">
        <v>119</v>
      </c>
      <c r="B26" s="14">
        <v>2009</v>
      </c>
      <c r="C26" s="6" t="s">
        <v>126</v>
      </c>
      <c r="D26" s="6" t="s">
        <v>19</v>
      </c>
      <c r="F26" s="6" t="s">
        <v>127</v>
      </c>
      <c r="G26" s="60">
        <v>11146300</v>
      </c>
      <c r="H26" s="52"/>
      <c r="I26" s="66"/>
    </row>
    <row r="27" spans="1:9" outlineLevel="1" x14ac:dyDescent="0.25">
      <c r="A27" t="s">
        <v>129</v>
      </c>
      <c r="B27" s="8">
        <v>2009</v>
      </c>
      <c r="C27" t="s">
        <v>139</v>
      </c>
      <c r="D27" t="s">
        <v>8</v>
      </c>
      <c r="F27" t="s">
        <v>9</v>
      </c>
      <c r="G27" s="57">
        <v>8570989</v>
      </c>
      <c r="H27" s="52"/>
      <c r="I27" s="66"/>
    </row>
    <row r="28" spans="1:9" outlineLevel="1" x14ac:dyDescent="0.25">
      <c r="A28" t="s">
        <v>129</v>
      </c>
      <c r="B28" s="8">
        <v>2009</v>
      </c>
      <c r="C28" t="s">
        <v>132</v>
      </c>
      <c r="D28" t="s">
        <v>8</v>
      </c>
      <c r="F28" t="s">
        <v>9</v>
      </c>
      <c r="G28" s="57">
        <v>5629170</v>
      </c>
      <c r="H28" s="52"/>
      <c r="I28" s="66"/>
    </row>
    <row r="29" spans="1:9" outlineLevel="1" x14ac:dyDescent="0.25">
      <c r="A29" t="s">
        <v>129</v>
      </c>
      <c r="B29" s="8">
        <v>2009</v>
      </c>
      <c r="C29" t="s">
        <v>170</v>
      </c>
      <c r="D29" t="s">
        <v>8</v>
      </c>
      <c r="F29" t="s">
        <v>171</v>
      </c>
      <c r="G29" s="57">
        <v>10833637</v>
      </c>
      <c r="H29" s="52"/>
      <c r="I29" s="66"/>
    </row>
    <row r="30" spans="1:9" outlineLevel="1" x14ac:dyDescent="0.25">
      <c r="A30" t="s">
        <v>129</v>
      </c>
      <c r="B30" s="8">
        <v>2009</v>
      </c>
      <c r="C30" t="s">
        <v>172</v>
      </c>
      <c r="D30" t="s">
        <v>8</v>
      </c>
      <c r="F30" t="s">
        <v>173</v>
      </c>
      <c r="G30" s="57">
        <v>10413942</v>
      </c>
      <c r="H30" s="52"/>
      <c r="I30" s="66"/>
    </row>
    <row r="31" spans="1:9" outlineLevel="1" x14ac:dyDescent="0.25">
      <c r="A31" t="s">
        <v>129</v>
      </c>
      <c r="B31" s="8">
        <v>2009</v>
      </c>
      <c r="C31" t="s">
        <v>174</v>
      </c>
      <c r="D31" t="s">
        <v>8</v>
      </c>
      <c r="F31" t="s">
        <v>9</v>
      </c>
      <c r="G31" s="57">
        <v>13624746</v>
      </c>
      <c r="H31" s="52"/>
      <c r="I31" s="66"/>
    </row>
    <row r="32" spans="1:9" outlineLevel="1" x14ac:dyDescent="0.25">
      <c r="A32" t="s">
        <v>129</v>
      </c>
      <c r="B32" s="8">
        <v>2009</v>
      </c>
      <c r="C32" t="s">
        <v>175</v>
      </c>
      <c r="D32" t="s">
        <v>8</v>
      </c>
      <c r="F32" t="s">
        <v>9</v>
      </c>
      <c r="G32" s="57">
        <v>9180208</v>
      </c>
      <c r="H32" s="52"/>
      <c r="I32" s="66"/>
    </row>
    <row r="33" spans="1:9" outlineLevel="1" x14ac:dyDescent="0.25">
      <c r="A33" t="s">
        <v>129</v>
      </c>
      <c r="B33" s="8">
        <v>2009</v>
      </c>
      <c r="C33" t="s">
        <v>179</v>
      </c>
      <c r="D33" t="s">
        <v>33</v>
      </c>
      <c r="F33" t="s">
        <v>9</v>
      </c>
      <c r="G33" s="57">
        <v>12511436</v>
      </c>
      <c r="H33" s="52"/>
      <c r="I33" s="66"/>
    </row>
    <row r="34" spans="1:9" outlineLevel="1" x14ac:dyDescent="0.25">
      <c r="A34" t="s">
        <v>129</v>
      </c>
      <c r="B34" s="8">
        <v>2009</v>
      </c>
      <c r="C34" t="s">
        <v>180</v>
      </c>
      <c r="D34" t="s">
        <v>33</v>
      </c>
      <c r="F34" t="s">
        <v>9</v>
      </c>
      <c r="G34" s="57">
        <v>10759429</v>
      </c>
      <c r="H34" s="52"/>
      <c r="I34" s="66"/>
    </row>
    <row r="35" spans="1:9" outlineLevel="1" x14ac:dyDescent="0.25">
      <c r="A35" t="s">
        <v>191</v>
      </c>
      <c r="B35" s="8">
        <v>2009</v>
      </c>
      <c r="C35" t="s">
        <v>192</v>
      </c>
      <c r="D35" t="s">
        <v>8</v>
      </c>
      <c r="F35" t="s">
        <v>143</v>
      </c>
      <c r="G35" s="57">
        <v>50388670</v>
      </c>
      <c r="H35" s="52"/>
      <c r="I35" s="66"/>
    </row>
    <row r="36" spans="1:9" outlineLevel="1" x14ac:dyDescent="0.25">
      <c r="A36" t="s">
        <v>191</v>
      </c>
      <c r="B36" s="8">
        <v>2009</v>
      </c>
      <c r="C36" t="s">
        <v>193</v>
      </c>
      <c r="D36" t="s">
        <v>8</v>
      </c>
      <c r="F36" t="s">
        <v>52</v>
      </c>
      <c r="G36" s="57">
        <v>24134503</v>
      </c>
      <c r="H36" s="52"/>
      <c r="I36" s="66"/>
    </row>
    <row r="37" spans="1:9" outlineLevel="1" x14ac:dyDescent="0.25">
      <c r="A37" t="s">
        <v>191</v>
      </c>
      <c r="B37" s="8">
        <v>2009</v>
      </c>
      <c r="C37" t="s">
        <v>194</v>
      </c>
      <c r="D37" t="s">
        <v>8</v>
      </c>
      <c r="F37" t="s">
        <v>11</v>
      </c>
      <c r="G37" s="57">
        <v>8360843</v>
      </c>
      <c r="H37" s="52"/>
      <c r="I37" s="66"/>
    </row>
    <row r="38" spans="1:9" outlineLevel="1" x14ac:dyDescent="0.25">
      <c r="A38" t="s">
        <v>191</v>
      </c>
      <c r="B38" s="8">
        <v>2009</v>
      </c>
      <c r="C38" t="s">
        <v>210</v>
      </c>
      <c r="D38" t="s">
        <v>33</v>
      </c>
      <c r="F38" t="s">
        <v>143</v>
      </c>
      <c r="G38" s="57">
        <v>12558008</v>
      </c>
      <c r="H38" s="52"/>
      <c r="I38" s="66"/>
    </row>
    <row r="39" spans="1:9" outlineLevel="1" x14ac:dyDescent="0.25">
      <c r="A39" t="s">
        <v>191</v>
      </c>
      <c r="B39" s="8">
        <v>2009</v>
      </c>
      <c r="C39" t="s">
        <v>219</v>
      </c>
      <c r="D39" t="s">
        <v>44</v>
      </c>
      <c r="F39" t="s">
        <v>220</v>
      </c>
      <c r="G39" s="57">
        <v>59000000</v>
      </c>
      <c r="H39" s="52"/>
      <c r="I39" s="66"/>
    </row>
    <row r="40" spans="1:9" outlineLevel="1" x14ac:dyDescent="0.25">
      <c r="A40" t="s">
        <v>227</v>
      </c>
      <c r="B40" s="8">
        <v>2009</v>
      </c>
      <c r="C40" t="s">
        <v>232</v>
      </c>
      <c r="D40" t="s">
        <v>8</v>
      </c>
      <c r="F40" t="s">
        <v>143</v>
      </c>
      <c r="G40" s="57">
        <v>24140648</v>
      </c>
      <c r="H40" s="52"/>
      <c r="I40" s="66"/>
    </row>
    <row r="41" spans="1:9" outlineLevel="1" x14ac:dyDescent="0.25">
      <c r="A41" t="s">
        <v>227</v>
      </c>
      <c r="B41" s="8">
        <v>2009</v>
      </c>
      <c r="C41" t="s">
        <v>241</v>
      </c>
      <c r="D41" t="s">
        <v>8</v>
      </c>
      <c r="F41" t="s">
        <v>69</v>
      </c>
      <c r="G41" s="57">
        <v>15439851</v>
      </c>
      <c r="H41" s="52"/>
      <c r="I41" s="66"/>
    </row>
    <row r="42" spans="1:9" outlineLevel="1" x14ac:dyDescent="0.25">
      <c r="A42" t="s">
        <v>227</v>
      </c>
      <c r="B42" s="8">
        <v>2009</v>
      </c>
      <c r="C42" t="s">
        <v>242</v>
      </c>
      <c r="D42" t="s">
        <v>8</v>
      </c>
      <c r="F42" t="s">
        <v>11</v>
      </c>
      <c r="G42" s="57">
        <v>19512264</v>
      </c>
      <c r="H42" s="52"/>
      <c r="I42" s="66"/>
    </row>
    <row r="43" spans="1:9" outlineLevel="1" x14ac:dyDescent="0.25">
      <c r="A43" t="s">
        <v>249</v>
      </c>
      <c r="B43" s="8">
        <v>2009</v>
      </c>
      <c r="C43" t="s">
        <v>250</v>
      </c>
      <c r="D43" t="s">
        <v>8</v>
      </c>
      <c r="F43" t="s">
        <v>52</v>
      </c>
      <c r="G43" s="57">
        <v>62700392</v>
      </c>
      <c r="H43" s="52"/>
      <c r="I43" s="66"/>
    </row>
    <row r="44" spans="1:9" outlineLevel="1" x14ac:dyDescent="0.25">
      <c r="A44" t="s">
        <v>249</v>
      </c>
      <c r="B44" s="8">
        <v>2009</v>
      </c>
      <c r="C44" t="s">
        <v>251</v>
      </c>
      <c r="D44" t="s">
        <v>8</v>
      </c>
      <c r="F44" t="s">
        <v>58</v>
      </c>
      <c r="G44" s="57">
        <v>39486474</v>
      </c>
      <c r="H44" s="52"/>
      <c r="I44" s="66"/>
    </row>
    <row r="45" spans="1:9" outlineLevel="1" x14ac:dyDescent="0.25">
      <c r="A45" t="s">
        <v>249</v>
      </c>
      <c r="B45" s="8">
        <v>2009</v>
      </c>
      <c r="C45" t="s">
        <v>252</v>
      </c>
      <c r="D45" t="s">
        <v>8</v>
      </c>
      <c r="F45" t="s">
        <v>58</v>
      </c>
      <c r="G45" s="57">
        <v>14193696</v>
      </c>
      <c r="H45" s="52"/>
      <c r="I45" s="66"/>
    </row>
    <row r="46" spans="1:9" outlineLevel="1" x14ac:dyDescent="0.25">
      <c r="A46" t="s">
        <v>249</v>
      </c>
      <c r="B46" s="8">
        <v>2009</v>
      </c>
      <c r="C46" t="s">
        <v>253</v>
      </c>
      <c r="D46" t="s">
        <v>8</v>
      </c>
      <c r="F46" t="s">
        <v>229</v>
      </c>
      <c r="G46" s="57">
        <v>15808053</v>
      </c>
      <c r="H46" s="52"/>
      <c r="I46" s="66"/>
    </row>
    <row r="47" spans="1:9" outlineLevel="1" x14ac:dyDescent="0.25">
      <c r="A47" t="s">
        <v>269</v>
      </c>
      <c r="B47" s="8">
        <v>2009</v>
      </c>
      <c r="C47" t="s">
        <v>270</v>
      </c>
      <c r="D47" t="s">
        <v>8</v>
      </c>
      <c r="F47" t="s">
        <v>75</v>
      </c>
      <c r="G47" s="57">
        <v>11216304</v>
      </c>
      <c r="H47" s="52"/>
      <c r="I47" s="66"/>
    </row>
    <row r="48" spans="1:9" outlineLevel="1" x14ac:dyDescent="0.25">
      <c r="A48" t="s">
        <v>269</v>
      </c>
      <c r="B48" s="8">
        <v>2009</v>
      </c>
      <c r="C48" t="s">
        <v>271</v>
      </c>
      <c r="D48" t="s">
        <v>8</v>
      </c>
      <c r="F48" t="s">
        <v>75</v>
      </c>
      <c r="G48" s="57">
        <v>13853380</v>
      </c>
      <c r="H48" s="52"/>
      <c r="I48" s="66"/>
    </row>
    <row r="49" spans="1:9" outlineLevel="1" x14ac:dyDescent="0.25">
      <c r="A49" t="s">
        <v>277</v>
      </c>
      <c r="B49" s="8">
        <v>2009</v>
      </c>
      <c r="C49" t="s">
        <v>279</v>
      </c>
      <c r="D49" t="s">
        <v>8</v>
      </c>
      <c r="F49" t="s">
        <v>11</v>
      </c>
      <c r="G49" s="57">
        <v>5881832</v>
      </c>
      <c r="H49" s="52"/>
      <c r="I49" s="66"/>
    </row>
    <row r="50" spans="1:9" s="2" customFormat="1" x14ac:dyDescent="0.25">
      <c r="A50" s="40"/>
      <c r="B50" s="40" t="s">
        <v>300</v>
      </c>
      <c r="C50" s="40">
        <f>COUNTA(C22:C49)</f>
        <v>28</v>
      </c>
      <c r="D50" s="101">
        <f>E50/C50</f>
        <v>0.9285714285714286</v>
      </c>
      <c r="E50" s="105">
        <f>COUNTIF(D22:D49,"*CMAR*")+COUNTIF(D22:D49, "*Design/Build*")+COUNTIF(D22:D49, "*PPEA*")+COUNTIF(D22:D49, "*Competitive Negotiation*")+COUNTIF(D22:D49, "*Sole Source*")+COUNTIF(D22:D49,"*Internal*")+COUNTIF(D22:D49, "*Lease Capital*")</f>
        <v>26</v>
      </c>
      <c r="F50" s="105"/>
      <c r="G50" s="58">
        <f>SUM(G22:G49)</f>
        <v>607655775</v>
      </c>
      <c r="H50" s="58">
        <f>G50-(G26+G25)</f>
        <v>579990475</v>
      </c>
      <c r="I50" s="67">
        <f>H50/G50</f>
        <v>0.95447208577915676</v>
      </c>
    </row>
    <row r="51" spans="1:9" outlineLevel="1" x14ac:dyDescent="0.25">
      <c r="A51" t="s">
        <v>6</v>
      </c>
      <c r="B51" s="8">
        <v>2010</v>
      </c>
      <c r="C51" t="s">
        <v>7</v>
      </c>
      <c r="D51" t="s">
        <v>8</v>
      </c>
      <c r="F51" t="s">
        <v>9</v>
      </c>
      <c r="G51" s="57">
        <v>27800000</v>
      </c>
      <c r="H51" s="52"/>
      <c r="I51" s="66"/>
    </row>
    <row r="52" spans="1:9" outlineLevel="1" x14ac:dyDescent="0.25">
      <c r="A52" t="s">
        <v>6</v>
      </c>
      <c r="B52" s="8">
        <v>2010</v>
      </c>
      <c r="C52" t="s">
        <v>10</v>
      </c>
      <c r="D52" t="s">
        <v>8</v>
      </c>
      <c r="F52" t="s">
        <v>11</v>
      </c>
      <c r="G52" s="57">
        <v>58700000</v>
      </c>
      <c r="H52" s="52"/>
      <c r="I52" s="66"/>
    </row>
    <row r="53" spans="1:9" outlineLevel="1" x14ac:dyDescent="0.25">
      <c r="A53" t="s">
        <v>23</v>
      </c>
      <c r="B53" s="8">
        <v>2010</v>
      </c>
      <c r="C53" t="s">
        <v>35</v>
      </c>
      <c r="D53" t="s">
        <v>33</v>
      </c>
      <c r="F53" t="s">
        <v>11</v>
      </c>
      <c r="G53" s="57">
        <v>8140138</v>
      </c>
      <c r="H53" s="52"/>
      <c r="I53" s="66"/>
    </row>
    <row r="54" spans="1:9" outlineLevel="1" x14ac:dyDescent="0.25">
      <c r="A54" t="s">
        <v>23</v>
      </c>
      <c r="B54" s="8">
        <v>2010</v>
      </c>
      <c r="C54" t="s">
        <v>36</v>
      </c>
      <c r="D54" t="s">
        <v>33</v>
      </c>
      <c r="F54" t="s">
        <v>31</v>
      </c>
      <c r="G54" s="57">
        <v>47457000</v>
      </c>
      <c r="H54" s="52"/>
      <c r="I54" s="66"/>
    </row>
    <row r="55" spans="1:9" outlineLevel="1" x14ac:dyDescent="0.25">
      <c r="A55" t="s">
        <v>47</v>
      </c>
      <c r="B55" s="8">
        <v>2010</v>
      </c>
      <c r="C55" t="s">
        <v>51</v>
      </c>
      <c r="D55" t="s">
        <v>8</v>
      </c>
      <c r="F55" t="s">
        <v>52</v>
      </c>
      <c r="G55" s="57">
        <v>32926354</v>
      </c>
      <c r="H55" s="52"/>
      <c r="I55" s="66"/>
    </row>
    <row r="56" spans="1:9" outlineLevel="1" x14ac:dyDescent="0.25">
      <c r="A56" t="s">
        <v>47</v>
      </c>
      <c r="B56" s="8">
        <v>2010</v>
      </c>
      <c r="C56" t="s">
        <v>53</v>
      </c>
      <c r="D56" t="s">
        <v>8</v>
      </c>
      <c r="F56" t="s">
        <v>49</v>
      </c>
      <c r="G56" s="57">
        <v>11394000</v>
      </c>
      <c r="H56" s="52"/>
      <c r="I56" s="66"/>
    </row>
    <row r="57" spans="1:9" outlineLevel="1" x14ac:dyDescent="0.25">
      <c r="A57" t="s">
        <v>47</v>
      </c>
      <c r="B57" s="8">
        <v>2010</v>
      </c>
      <c r="C57" t="s">
        <v>62</v>
      </c>
      <c r="D57" t="s">
        <v>19</v>
      </c>
      <c r="F57" t="s">
        <v>61</v>
      </c>
      <c r="G57" s="57">
        <v>36200718</v>
      </c>
      <c r="H57" s="52"/>
      <c r="I57" s="66"/>
    </row>
    <row r="58" spans="1:9" outlineLevel="1" x14ac:dyDescent="0.25">
      <c r="A58" t="s">
        <v>47</v>
      </c>
      <c r="B58" s="8">
        <v>2010</v>
      </c>
      <c r="C58" t="s">
        <v>63</v>
      </c>
      <c r="D58" t="s">
        <v>19</v>
      </c>
      <c r="F58" t="s">
        <v>64</v>
      </c>
      <c r="G58" s="57">
        <v>7698400</v>
      </c>
      <c r="H58" s="52"/>
      <c r="I58" s="66"/>
    </row>
    <row r="59" spans="1:9" outlineLevel="1" x14ac:dyDescent="0.25">
      <c r="A59" t="s">
        <v>89</v>
      </c>
      <c r="B59" s="8">
        <v>2010</v>
      </c>
      <c r="C59" t="s">
        <v>91</v>
      </c>
      <c r="D59" t="s">
        <v>8</v>
      </c>
      <c r="F59" t="s">
        <v>69</v>
      </c>
      <c r="G59" s="57">
        <v>37079649</v>
      </c>
      <c r="H59" s="52"/>
      <c r="I59" s="66"/>
    </row>
    <row r="60" spans="1:9" outlineLevel="1" x14ac:dyDescent="0.25">
      <c r="A60" t="s">
        <v>89</v>
      </c>
      <c r="B60" s="8">
        <v>2010</v>
      </c>
      <c r="C60" t="s">
        <v>92</v>
      </c>
      <c r="D60" t="s">
        <v>8</v>
      </c>
      <c r="F60" t="s">
        <v>9</v>
      </c>
      <c r="G60" s="57">
        <v>38633403</v>
      </c>
      <c r="H60" s="52"/>
      <c r="I60" s="66"/>
    </row>
    <row r="61" spans="1:9" outlineLevel="1" x14ac:dyDescent="0.25">
      <c r="A61" t="s">
        <v>104</v>
      </c>
      <c r="B61" s="8">
        <v>2010</v>
      </c>
      <c r="C61" t="s">
        <v>105</v>
      </c>
      <c r="D61" t="s">
        <v>8</v>
      </c>
      <c r="F61" t="s">
        <v>11</v>
      </c>
      <c r="G61" s="57">
        <v>35657770</v>
      </c>
      <c r="H61" s="52"/>
      <c r="I61" s="66"/>
    </row>
    <row r="62" spans="1:9" outlineLevel="1" x14ac:dyDescent="0.25">
      <c r="A62" t="s">
        <v>104</v>
      </c>
      <c r="B62" s="8">
        <v>2010</v>
      </c>
      <c r="C62" t="s">
        <v>116</v>
      </c>
      <c r="D62" t="s">
        <v>33</v>
      </c>
      <c r="F62" t="s">
        <v>110</v>
      </c>
      <c r="G62" s="57">
        <v>8481000</v>
      </c>
      <c r="H62" s="52"/>
      <c r="I62" s="66"/>
    </row>
    <row r="63" spans="1:9" outlineLevel="1" x14ac:dyDescent="0.25">
      <c r="A63" s="6" t="s">
        <v>119</v>
      </c>
      <c r="B63" s="14">
        <v>2010</v>
      </c>
      <c r="C63" s="6" t="s">
        <v>128</v>
      </c>
      <c r="D63" s="6" t="s">
        <v>44</v>
      </c>
      <c r="E63" s="17"/>
      <c r="F63" s="6" t="s">
        <v>49</v>
      </c>
      <c r="G63" s="60">
        <v>44642328</v>
      </c>
      <c r="H63" s="52"/>
      <c r="I63" s="66"/>
    </row>
    <row r="64" spans="1:9" outlineLevel="1" x14ac:dyDescent="0.25">
      <c r="A64" t="s">
        <v>129</v>
      </c>
      <c r="B64" s="8">
        <v>2010</v>
      </c>
      <c r="C64" t="s">
        <v>133</v>
      </c>
      <c r="D64" t="s">
        <v>8</v>
      </c>
      <c r="F64" t="s">
        <v>134</v>
      </c>
      <c r="G64" s="57">
        <v>13352272</v>
      </c>
      <c r="H64" s="52"/>
      <c r="I64" s="66"/>
    </row>
    <row r="65" spans="1:9" outlineLevel="1" x14ac:dyDescent="0.25">
      <c r="A65" t="s">
        <v>129</v>
      </c>
      <c r="B65" s="8">
        <v>2010</v>
      </c>
      <c r="C65" t="s">
        <v>135</v>
      </c>
      <c r="D65" t="s">
        <v>8</v>
      </c>
      <c r="F65" t="s">
        <v>9</v>
      </c>
      <c r="G65" s="57">
        <v>8085128</v>
      </c>
      <c r="H65" s="52"/>
      <c r="I65" s="66"/>
    </row>
    <row r="66" spans="1:9" outlineLevel="1" x14ac:dyDescent="0.25">
      <c r="A66" t="s">
        <v>129</v>
      </c>
      <c r="B66" s="8">
        <v>2010</v>
      </c>
      <c r="C66" t="s">
        <v>137</v>
      </c>
      <c r="D66" t="s">
        <v>8</v>
      </c>
      <c r="F66" t="s">
        <v>136</v>
      </c>
      <c r="G66" s="57">
        <v>5822481</v>
      </c>
      <c r="H66" s="52"/>
      <c r="I66" s="66"/>
    </row>
    <row r="67" spans="1:9" outlineLevel="1" x14ac:dyDescent="0.25">
      <c r="A67" t="s">
        <v>129</v>
      </c>
      <c r="B67" s="8">
        <v>2010</v>
      </c>
      <c r="C67" t="s">
        <v>138</v>
      </c>
      <c r="D67" t="s">
        <v>8</v>
      </c>
      <c r="F67" t="s">
        <v>9</v>
      </c>
      <c r="G67" s="57">
        <v>6208697</v>
      </c>
      <c r="H67" s="52"/>
      <c r="I67" s="66"/>
    </row>
    <row r="68" spans="1:9" outlineLevel="1" x14ac:dyDescent="0.25">
      <c r="A68" t="s">
        <v>129</v>
      </c>
      <c r="B68" s="8">
        <v>2010</v>
      </c>
      <c r="C68" t="s">
        <v>140</v>
      </c>
      <c r="D68" t="s">
        <v>8</v>
      </c>
      <c r="F68" t="s">
        <v>141</v>
      </c>
      <c r="G68" s="57">
        <v>19198486</v>
      </c>
      <c r="H68" s="52"/>
      <c r="I68" s="66"/>
    </row>
    <row r="69" spans="1:9" outlineLevel="1" x14ac:dyDescent="0.25">
      <c r="A69" t="s">
        <v>129</v>
      </c>
      <c r="B69" s="8">
        <v>2010</v>
      </c>
      <c r="C69" t="s">
        <v>177</v>
      </c>
      <c r="D69" t="s">
        <v>19</v>
      </c>
      <c r="F69" t="s">
        <v>178</v>
      </c>
      <c r="G69" s="57">
        <v>6962228</v>
      </c>
      <c r="H69" s="52"/>
      <c r="I69" s="66"/>
    </row>
    <row r="70" spans="1:9" outlineLevel="1" x14ac:dyDescent="0.25">
      <c r="A70" t="s">
        <v>129</v>
      </c>
      <c r="B70" s="8">
        <v>2010</v>
      </c>
      <c r="C70" t="s">
        <v>181</v>
      </c>
      <c r="D70" t="s">
        <v>33</v>
      </c>
      <c r="F70" t="s">
        <v>9</v>
      </c>
      <c r="G70" s="57">
        <v>26667697</v>
      </c>
      <c r="H70" s="52"/>
      <c r="I70" s="66"/>
    </row>
    <row r="71" spans="1:9" outlineLevel="1" x14ac:dyDescent="0.25">
      <c r="A71" t="s">
        <v>191</v>
      </c>
      <c r="B71" s="8">
        <v>2010</v>
      </c>
      <c r="C71" t="s">
        <v>195</v>
      </c>
      <c r="D71" t="s">
        <v>8</v>
      </c>
      <c r="F71" t="s">
        <v>196</v>
      </c>
      <c r="G71" s="57">
        <v>7052618</v>
      </c>
      <c r="H71" s="52"/>
      <c r="I71" s="66"/>
    </row>
    <row r="72" spans="1:9" outlineLevel="1" x14ac:dyDescent="0.25">
      <c r="A72" t="s">
        <v>191</v>
      </c>
      <c r="B72" s="8">
        <v>2010</v>
      </c>
      <c r="C72" t="s">
        <v>197</v>
      </c>
      <c r="D72" t="s">
        <v>8</v>
      </c>
      <c r="F72" t="s">
        <v>75</v>
      </c>
      <c r="G72" s="57">
        <v>6648316</v>
      </c>
      <c r="H72" s="52"/>
      <c r="I72" s="66"/>
    </row>
    <row r="73" spans="1:9" outlineLevel="1" x14ac:dyDescent="0.25">
      <c r="A73" t="s">
        <v>227</v>
      </c>
      <c r="B73" s="8">
        <v>2010</v>
      </c>
      <c r="C73" t="s">
        <v>233</v>
      </c>
      <c r="D73" t="s">
        <v>8</v>
      </c>
      <c r="F73" t="s">
        <v>146</v>
      </c>
      <c r="G73" s="57">
        <v>22719587</v>
      </c>
      <c r="H73" s="52"/>
      <c r="I73" s="66"/>
    </row>
    <row r="74" spans="1:9" outlineLevel="1" x14ac:dyDescent="0.25">
      <c r="A74" t="s">
        <v>227</v>
      </c>
      <c r="B74" s="8">
        <v>2010</v>
      </c>
      <c r="C74" t="s">
        <v>234</v>
      </c>
      <c r="D74" t="s">
        <v>8</v>
      </c>
      <c r="F74" t="s">
        <v>34</v>
      </c>
      <c r="G74" s="57">
        <v>18237546</v>
      </c>
      <c r="H74" s="52"/>
      <c r="I74" s="66"/>
    </row>
    <row r="75" spans="1:9" outlineLevel="1" x14ac:dyDescent="0.25">
      <c r="A75" t="s">
        <v>227</v>
      </c>
      <c r="B75" s="8">
        <v>2010</v>
      </c>
      <c r="C75" t="s">
        <v>243</v>
      </c>
      <c r="D75" t="s">
        <v>8</v>
      </c>
      <c r="F75" t="s">
        <v>146</v>
      </c>
      <c r="G75" s="57">
        <v>36000000</v>
      </c>
      <c r="H75" s="52"/>
      <c r="I75" s="66"/>
    </row>
    <row r="76" spans="1:9" outlineLevel="1" x14ac:dyDescent="0.25">
      <c r="A76" t="s">
        <v>227</v>
      </c>
      <c r="B76" s="8">
        <v>2010</v>
      </c>
      <c r="C76" t="s">
        <v>244</v>
      </c>
      <c r="D76" t="s">
        <v>8</v>
      </c>
      <c r="F76" t="s">
        <v>52</v>
      </c>
      <c r="G76" s="57">
        <v>16395401</v>
      </c>
      <c r="H76" s="52"/>
      <c r="I76" s="66"/>
    </row>
    <row r="77" spans="1:9" outlineLevel="1" x14ac:dyDescent="0.25">
      <c r="A77" t="s">
        <v>249</v>
      </c>
      <c r="B77" s="8">
        <v>2010</v>
      </c>
      <c r="C77" t="s">
        <v>254</v>
      </c>
      <c r="D77" t="s">
        <v>8</v>
      </c>
      <c r="F77" t="s">
        <v>146</v>
      </c>
      <c r="G77" s="57">
        <v>97010971</v>
      </c>
      <c r="H77" s="52"/>
      <c r="I77" s="66"/>
    </row>
    <row r="78" spans="1:9" s="8" customFormat="1" x14ac:dyDescent="0.25">
      <c r="A78" s="40"/>
      <c r="B78" s="40" t="s">
        <v>301</v>
      </c>
      <c r="C78" s="40">
        <f>COUNTA(C51:C77)</f>
        <v>27</v>
      </c>
      <c r="D78" s="101">
        <f>E78/C78</f>
        <v>0.88888888888888884</v>
      </c>
      <c r="E78" s="105">
        <f>COUNTIF(D51:D77,"*CMAR*")+COUNTIF(D51:D77, "*Design/Build*")+COUNTIF(D51:D77, "*PPEA*")+COUNTIF(D51:D77, "*Competitive Negotiation*")+COUNTIF(D51:D77, "*Sole Source*")+COUNTIF(D51:D77,"*Internal*")+COUNTIF(D51:D77, "*Lease Capital*")</f>
        <v>24</v>
      </c>
      <c r="F78" s="105"/>
      <c r="G78" s="58">
        <f>SUM(G51:G77)</f>
        <v>685172188</v>
      </c>
      <c r="H78" s="58">
        <f>G78-(G57+G58+G69)</f>
        <v>634310842</v>
      </c>
      <c r="I78" s="67">
        <f>H78/G78</f>
        <v>0.92576851937253468</v>
      </c>
    </row>
    <row r="79" spans="1:9" outlineLevel="2" x14ac:dyDescent="0.25">
      <c r="A79" t="s">
        <v>6</v>
      </c>
      <c r="B79" s="8">
        <v>2011</v>
      </c>
      <c r="C79" t="s">
        <v>12</v>
      </c>
      <c r="D79" t="s">
        <v>8</v>
      </c>
      <c r="F79" t="s">
        <v>11</v>
      </c>
      <c r="G79" s="57">
        <v>16400000</v>
      </c>
      <c r="H79" s="52"/>
      <c r="I79" s="66"/>
    </row>
    <row r="80" spans="1:9" outlineLevel="2" x14ac:dyDescent="0.25">
      <c r="A80" t="s">
        <v>6</v>
      </c>
      <c r="B80" s="8">
        <v>2011</v>
      </c>
      <c r="C80" t="s">
        <v>13</v>
      </c>
      <c r="D80" t="s">
        <v>8</v>
      </c>
      <c r="F80" t="s">
        <v>11</v>
      </c>
      <c r="G80" s="57">
        <v>45100000</v>
      </c>
      <c r="H80" s="52"/>
      <c r="I80" s="66"/>
    </row>
    <row r="81" spans="1:9" outlineLevel="2" x14ac:dyDescent="0.25">
      <c r="A81" t="s">
        <v>23</v>
      </c>
      <c r="B81" s="8">
        <v>2011</v>
      </c>
      <c r="C81" t="s">
        <v>26</v>
      </c>
      <c r="D81" t="s">
        <v>19</v>
      </c>
      <c r="F81" t="s">
        <v>27</v>
      </c>
      <c r="G81" s="57">
        <v>6877000</v>
      </c>
      <c r="H81" s="52"/>
      <c r="I81" s="66"/>
    </row>
    <row r="82" spans="1:9" outlineLevel="2" x14ac:dyDescent="0.25">
      <c r="A82" t="s">
        <v>23</v>
      </c>
      <c r="B82" s="8">
        <v>2011</v>
      </c>
      <c r="C82" t="s">
        <v>37</v>
      </c>
      <c r="D82" t="s">
        <v>33</v>
      </c>
      <c r="F82" t="s">
        <v>9</v>
      </c>
      <c r="G82" s="57">
        <v>11798750</v>
      </c>
      <c r="H82" s="52"/>
      <c r="I82" s="66"/>
    </row>
    <row r="83" spans="1:9" outlineLevel="2" x14ac:dyDescent="0.25">
      <c r="A83" t="s">
        <v>94</v>
      </c>
      <c r="B83" s="8">
        <v>2011</v>
      </c>
      <c r="C83" t="s">
        <v>95</v>
      </c>
      <c r="D83" t="s">
        <v>8</v>
      </c>
      <c r="F83" t="s">
        <v>52</v>
      </c>
      <c r="G83" s="57">
        <v>14289497</v>
      </c>
      <c r="H83" s="52"/>
      <c r="I83" s="66"/>
    </row>
    <row r="84" spans="1:9" outlineLevel="2" x14ac:dyDescent="0.25">
      <c r="A84" t="s">
        <v>104</v>
      </c>
      <c r="B84" s="8">
        <v>2011</v>
      </c>
      <c r="C84" t="s">
        <v>109</v>
      </c>
      <c r="D84" t="s">
        <v>19</v>
      </c>
      <c r="F84" t="s">
        <v>110</v>
      </c>
      <c r="G84" s="57">
        <v>10280000</v>
      </c>
      <c r="H84" s="52"/>
      <c r="I84" s="66"/>
    </row>
    <row r="85" spans="1:9" outlineLevel="2" x14ac:dyDescent="0.25">
      <c r="A85" t="s">
        <v>119</v>
      </c>
      <c r="B85" s="8">
        <v>2011</v>
      </c>
      <c r="C85" t="s">
        <v>120</v>
      </c>
      <c r="D85" t="s">
        <v>121</v>
      </c>
      <c r="F85" t="s">
        <v>58</v>
      </c>
      <c r="G85" s="57">
        <v>13631733</v>
      </c>
      <c r="H85" s="52"/>
      <c r="I85" s="66"/>
    </row>
    <row r="86" spans="1:9" outlineLevel="2" x14ac:dyDescent="0.25">
      <c r="A86" t="s">
        <v>129</v>
      </c>
      <c r="B86" s="8">
        <v>2011</v>
      </c>
      <c r="C86" t="s">
        <v>142</v>
      </c>
      <c r="D86" t="s">
        <v>8</v>
      </c>
      <c r="F86" t="s">
        <v>143</v>
      </c>
      <c r="G86" s="57">
        <v>42436184</v>
      </c>
      <c r="H86" s="52"/>
      <c r="I86" s="66"/>
    </row>
    <row r="87" spans="1:9" outlineLevel="2" x14ac:dyDescent="0.25">
      <c r="A87" t="s">
        <v>129</v>
      </c>
      <c r="B87" s="8">
        <v>2011</v>
      </c>
      <c r="C87" t="s">
        <v>144</v>
      </c>
      <c r="D87" t="s">
        <v>8</v>
      </c>
      <c r="F87" t="s">
        <v>61</v>
      </c>
      <c r="G87" s="57">
        <v>7543056</v>
      </c>
      <c r="H87" s="52"/>
      <c r="I87" s="66"/>
    </row>
    <row r="88" spans="1:9" outlineLevel="2" x14ac:dyDescent="0.25">
      <c r="A88" t="s">
        <v>129</v>
      </c>
      <c r="B88" s="8">
        <v>2011</v>
      </c>
      <c r="C88" t="s">
        <v>182</v>
      </c>
      <c r="D88" t="s">
        <v>33</v>
      </c>
      <c r="F88" t="s">
        <v>9</v>
      </c>
      <c r="G88" s="57">
        <v>19078457</v>
      </c>
      <c r="H88" s="52"/>
      <c r="I88" s="66"/>
    </row>
    <row r="89" spans="1:9" outlineLevel="2" x14ac:dyDescent="0.25">
      <c r="A89" t="s">
        <v>129</v>
      </c>
      <c r="B89" s="8">
        <v>2011</v>
      </c>
      <c r="C89" t="s">
        <v>183</v>
      </c>
      <c r="D89" t="s">
        <v>184</v>
      </c>
      <c r="F89" t="s">
        <v>185</v>
      </c>
      <c r="G89" s="57">
        <v>8080574</v>
      </c>
      <c r="H89" s="52"/>
      <c r="I89" s="66"/>
    </row>
    <row r="90" spans="1:9" outlineLevel="2" x14ac:dyDescent="0.25">
      <c r="A90" t="s">
        <v>191</v>
      </c>
      <c r="B90" s="8">
        <v>2011</v>
      </c>
      <c r="C90" t="s">
        <v>198</v>
      </c>
      <c r="D90" t="s">
        <v>8</v>
      </c>
      <c r="F90" t="s">
        <v>178</v>
      </c>
      <c r="G90" s="57">
        <v>71990000</v>
      </c>
      <c r="H90" s="52"/>
      <c r="I90" s="66"/>
    </row>
    <row r="91" spans="1:9" outlineLevel="2" x14ac:dyDescent="0.25">
      <c r="A91" t="s">
        <v>191</v>
      </c>
      <c r="B91" s="8">
        <v>2011</v>
      </c>
      <c r="C91" t="s">
        <v>199</v>
      </c>
      <c r="D91" t="s">
        <v>8</v>
      </c>
      <c r="F91" t="s">
        <v>52</v>
      </c>
      <c r="G91" s="57">
        <v>33376000</v>
      </c>
      <c r="H91" s="52"/>
      <c r="I91" s="66"/>
    </row>
    <row r="92" spans="1:9" outlineLevel="2" x14ac:dyDescent="0.25">
      <c r="A92" t="s">
        <v>191</v>
      </c>
      <c r="B92" s="8">
        <v>2011</v>
      </c>
      <c r="C92" t="s">
        <v>200</v>
      </c>
      <c r="D92" t="s">
        <v>8</v>
      </c>
      <c r="F92" t="s">
        <v>75</v>
      </c>
      <c r="G92" s="57">
        <v>5246503</v>
      </c>
      <c r="H92" s="52"/>
      <c r="I92" s="66"/>
    </row>
    <row r="93" spans="1:9" outlineLevel="2" x14ac:dyDescent="0.25">
      <c r="A93" t="s">
        <v>191</v>
      </c>
      <c r="B93" s="8">
        <v>2011</v>
      </c>
      <c r="C93" t="s">
        <v>201</v>
      </c>
      <c r="D93" t="s">
        <v>8</v>
      </c>
      <c r="F93" t="s">
        <v>9</v>
      </c>
      <c r="G93" s="57">
        <v>9500000</v>
      </c>
      <c r="H93" s="52"/>
      <c r="I93" s="66"/>
    </row>
    <row r="94" spans="1:9" outlineLevel="2" x14ac:dyDescent="0.25">
      <c r="A94" t="s">
        <v>191</v>
      </c>
      <c r="B94" s="8">
        <v>2011</v>
      </c>
      <c r="C94" t="s">
        <v>202</v>
      </c>
      <c r="D94" t="s">
        <v>8</v>
      </c>
      <c r="F94" t="s">
        <v>146</v>
      </c>
      <c r="G94" s="57">
        <v>66358823</v>
      </c>
      <c r="H94" s="52"/>
      <c r="I94" s="66"/>
    </row>
    <row r="95" spans="1:9" outlineLevel="2" x14ac:dyDescent="0.25">
      <c r="A95" t="s">
        <v>191</v>
      </c>
      <c r="B95" s="8">
        <v>2011</v>
      </c>
      <c r="C95" t="s">
        <v>203</v>
      </c>
      <c r="D95" t="s">
        <v>8</v>
      </c>
      <c r="F95" t="s">
        <v>52</v>
      </c>
      <c r="G95" s="57">
        <v>42084845</v>
      </c>
      <c r="H95" s="52"/>
      <c r="I95" s="66"/>
    </row>
    <row r="96" spans="1:9" outlineLevel="2" x14ac:dyDescent="0.25">
      <c r="A96" t="s">
        <v>191</v>
      </c>
      <c r="B96" s="8">
        <v>2011</v>
      </c>
      <c r="C96" t="s">
        <v>211</v>
      </c>
      <c r="D96" t="s">
        <v>33</v>
      </c>
      <c r="F96" t="s">
        <v>141</v>
      </c>
      <c r="G96" s="57">
        <v>10780000</v>
      </c>
      <c r="H96" s="52"/>
      <c r="I96" s="66"/>
    </row>
    <row r="97" spans="1:9" outlineLevel="2" x14ac:dyDescent="0.25">
      <c r="A97" t="s">
        <v>191</v>
      </c>
      <c r="B97" s="8">
        <v>2011</v>
      </c>
      <c r="C97" t="s">
        <v>221</v>
      </c>
      <c r="D97" t="s">
        <v>44</v>
      </c>
      <c r="F97" t="s">
        <v>220</v>
      </c>
      <c r="G97" s="57">
        <v>9600000</v>
      </c>
      <c r="H97" s="52"/>
      <c r="I97" s="66"/>
    </row>
    <row r="98" spans="1:9" outlineLevel="2" x14ac:dyDescent="0.25">
      <c r="A98" t="s">
        <v>227</v>
      </c>
      <c r="B98" s="8">
        <v>2011</v>
      </c>
      <c r="C98" t="s">
        <v>235</v>
      </c>
      <c r="D98" t="s">
        <v>8</v>
      </c>
      <c r="F98" t="s">
        <v>11</v>
      </c>
      <c r="G98" s="57">
        <v>27386900</v>
      </c>
      <c r="H98" s="52"/>
      <c r="I98" s="66"/>
    </row>
    <row r="99" spans="1:9" outlineLevel="2" x14ac:dyDescent="0.25">
      <c r="A99" t="s">
        <v>227</v>
      </c>
      <c r="B99" s="8">
        <v>2011</v>
      </c>
      <c r="C99" t="s">
        <v>245</v>
      </c>
      <c r="D99" t="s">
        <v>8</v>
      </c>
      <c r="F99" t="s">
        <v>69</v>
      </c>
      <c r="G99" s="57">
        <v>38736573</v>
      </c>
      <c r="H99" s="52"/>
      <c r="I99" s="66"/>
    </row>
    <row r="100" spans="1:9" outlineLevel="2" x14ac:dyDescent="0.25">
      <c r="A100" s="6" t="s">
        <v>227</v>
      </c>
      <c r="B100" s="14">
        <v>2011</v>
      </c>
      <c r="C100" s="6" t="s">
        <v>248</v>
      </c>
      <c r="D100" s="6" t="s">
        <v>19</v>
      </c>
      <c r="F100" s="6" t="s">
        <v>69</v>
      </c>
      <c r="G100" s="60">
        <v>10573813</v>
      </c>
      <c r="H100" s="52"/>
      <c r="I100" s="66"/>
    </row>
    <row r="101" spans="1:9" outlineLevel="2" x14ac:dyDescent="0.25">
      <c r="A101" t="s">
        <v>249</v>
      </c>
      <c r="B101" s="8">
        <v>2011</v>
      </c>
      <c r="C101" t="s">
        <v>262</v>
      </c>
      <c r="D101" t="s">
        <v>33</v>
      </c>
      <c r="F101" t="s">
        <v>49</v>
      </c>
      <c r="G101" s="57">
        <v>12684274</v>
      </c>
      <c r="H101" s="52"/>
      <c r="I101" s="66"/>
    </row>
    <row r="102" spans="1:9" outlineLevel="2" x14ac:dyDescent="0.25">
      <c r="A102" t="s">
        <v>249</v>
      </c>
      <c r="B102" s="8">
        <v>2011</v>
      </c>
      <c r="C102" t="s">
        <v>264</v>
      </c>
      <c r="D102" t="s">
        <v>33</v>
      </c>
      <c r="F102" t="s">
        <v>11</v>
      </c>
      <c r="G102" s="57">
        <v>33205861</v>
      </c>
      <c r="H102" s="52"/>
      <c r="I102" s="66"/>
    </row>
    <row r="103" spans="1:9" outlineLevel="2" x14ac:dyDescent="0.25">
      <c r="A103" t="s">
        <v>277</v>
      </c>
      <c r="B103" s="8">
        <v>2011</v>
      </c>
      <c r="C103" t="s">
        <v>280</v>
      </c>
      <c r="D103" t="s">
        <v>8</v>
      </c>
      <c r="F103" t="s">
        <v>11</v>
      </c>
      <c r="G103" s="57">
        <v>53526409</v>
      </c>
      <c r="H103" s="52"/>
      <c r="I103" s="66"/>
    </row>
    <row r="104" spans="1:9" outlineLevel="2" x14ac:dyDescent="0.25">
      <c r="A104" t="s">
        <v>277</v>
      </c>
      <c r="B104" s="8">
        <v>2011</v>
      </c>
      <c r="C104" t="s">
        <v>281</v>
      </c>
      <c r="D104" t="s">
        <v>8</v>
      </c>
      <c r="F104" t="s">
        <v>282</v>
      </c>
      <c r="G104" s="57">
        <v>11469095</v>
      </c>
      <c r="H104" s="52"/>
      <c r="I104" s="66"/>
    </row>
    <row r="105" spans="1:9" outlineLevel="2" x14ac:dyDescent="0.25">
      <c r="A105" t="s">
        <v>277</v>
      </c>
      <c r="B105" s="8">
        <v>2011</v>
      </c>
      <c r="C105" t="s">
        <v>283</v>
      </c>
      <c r="D105" t="s">
        <v>8</v>
      </c>
      <c r="F105" t="s">
        <v>282</v>
      </c>
      <c r="G105" s="57">
        <v>7475220</v>
      </c>
      <c r="H105" s="52"/>
      <c r="I105" s="66"/>
    </row>
    <row r="106" spans="1:9" x14ac:dyDescent="0.25">
      <c r="A106" s="40"/>
      <c r="B106" s="40" t="s">
        <v>302</v>
      </c>
      <c r="C106" s="40">
        <f>COUNTA(C79:C105)</f>
        <v>27</v>
      </c>
      <c r="D106" s="101">
        <f>E106/C106</f>
        <v>0.88888888888888884</v>
      </c>
      <c r="E106" s="105">
        <f>COUNTIF(D79:D105,"*CMAR*")+COUNTIF(D79:D105, "*Design/Build*")+COUNTIF(D79:D105, "*PPEA*")+COUNTIF(D79:D105, "*Competitive Negotiation*")+COUNTIF(D79:D105, "*Sole Source*")+COUNTIF(D79:D105,"*Internal*")+COUNTIF(D79:D105, "*Lease Capital*")</f>
        <v>24</v>
      </c>
      <c r="F106" s="105"/>
      <c r="G106" s="58">
        <f>SUM(G79:G105)</f>
        <v>639509567</v>
      </c>
      <c r="H106" s="58">
        <f>G106-(G81+G84+G100)</f>
        <v>611778754</v>
      </c>
      <c r="I106" s="67">
        <f>H106/G106</f>
        <v>0.95663737584085273</v>
      </c>
    </row>
    <row r="107" spans="1:9" outlineLevel="1" x14ac:dyDescent="0.25">
      <c r="A107" t="s">
        <v>6</v>
      </c>
      <c r="B107" s="8">
        <v>2012</v>
      </c>
      <c r="C107" t="s">
        <v>14</v>
      </c>
      <c r="D107" t="s">
        <v>8</v>
      </c>
      <c r="F107" t="s">
        <v>9</v>
      </c>
      <c r="G107" s="57">
        <v>33100000</v>
      </c>
      <c r="H107" s="52"/>
      <c r="I107" s="66"/>
    </row>
    <row r="108" spans="1:9" outlineLevel="1" x14ac:dyDescent="0.25">
      <c r="A108" t="s">
        <v>6</v>
      </c>
      <c r="B108" s="8">
        <v>2012</v>
      </c>
      <c r="C108" t="s">
        <v>15</v>
      </c>
      <c r="D108" t="s">
        <v>8</v>
      </c>
      <c r="F108" t="s">
        <v>9</v>
      </c>
      <c r="G108" s="57">
        <v>6400000</v>
      </c>
      <c r="H108" s="52"/>
      <c r="I108" s="66"/>
    </row>
    <row r="109" spans="1:9" outlineLevel="1" x14ac:dyDescent="0.25">
      <c r="A109" t="s">
        <v>23</v>
      </c>
      <c r="B109" s="8">
        <v>2012</v>
      </c>
      <c r="C109" t="s">
        <v>24</v>
      </c>
      <c r="D109" t="s">
        <v>8</v>
      </c>
      <c r="F109" t="s">
        <v>49</v>
      </c>
      <c r="G109" s="57">
        <v>40567069</v>
      </c>
      <c r="H109" s="52"/>
      <c r="I109" s="66"/>
    </row>
    <row r="110" spans="1:9" outlineLevel="1" x14ac:dyDescent="0.25">
      <c r="A110" t="s">
        <v>23</v>
      </c>
      <c r="B110" s="8">
        <v>2012</v>
      </c>
      <c r="C110" t="s">
        <v>28</v>
      </c>
      <c r="D110" t="s">
        <v>19</v>
      </c>
      <c r="F110" t="s">
        <v>29</v>
      </c>
      <c r="G110" s="57">
        <v>5825000</v>
      </c>
      <c r="H110" s="52"/>
      <c r="I110" s="66"/>
    </row>
    <row r="111" spans="1:9" outlineLevel="1" x14ac:dyDescent="0.25">
      <c r="A111" t="s">
        <v>23</v>
      </c>
      <c r="B111" s="8">
        <v>2012</v>
      </c>
      <c r="C111" t="s">
        <v>38</v>
      </c>
      <c r="D111" t="s">
        <v>33</v>
      </c>
      <c r="F111" t="s">
        <v>39</v>
      </c>
      <c r="G111" s="57">
        <v>12080000</v>
      </c>
      <c r="H111" s="52"/>
      <c r="I111" s="66"/>
    </row>
    <row r="112" spans="1:9" outlineLevel="1" x14ac:dyDescent="0.25">
      <c r="A112" t="s">
        <v>47</v>
      </c>
      <c r="B112" s="8">
        <v>2012</v>
      </c>
      <c r="C112" t="s">
        <v>54</v>
      </c>
      <c r="D112" t="s">
        <v>8</v>
      </c>
      <c r="F112" t="s">
        <v>9</v>
      </c>
      <c r="G112" s="57">
        <v>43577799</v>
      </c>
      <c r="H112" s="52"/>
      <c r="I112" s="66"/>
    </row>
    <row r="113" spans="1:9" outlineLevel="1" x14ac:dyDescent="0.25">
      <c r="A113" t="s">
        <v>47</v>
      </c>
      <c r="B113" s="8">
        <v>2012</v>
      </c>
      <c r="C113" t="s">
        <v>55</v>
      </c>
      <c r="D113" t="s">
        <v>8</v>
      </c>
      <c r="F113" t="s">
        <v>52</v>
      </c>
      <c r="G113" s="57">
        <v>32646335</v>
      </c>
      <c r="H113" s="52"/>
      <c r="I113" s="66"/>
    </row>
    <row r="114" spans="1:9" outlineLevel="1" x14ac:dyDescent="0.25">
      <c r="A114" t="s">
        <v>47</v>
      </c>
      <c r="B114" s="8">
        <v>2012</v>
      </c>
      <c r="C114" t="s">
        <v>68</v>
      </c>
      <c r="D114" t="s">
        <v>8</v>
      </c>
      <c r="F114" t="s">
        <v>9</v>
      </c>
      <c r="G114" s="57">
        <v>7936662</v>
      </c>
      <c r="H114" s="52"/>
      <c r="I114" s="66"/>
    </row>
    <row r="115" spans="1:9" outlineLevel="1" x14ac:dyDescent="0.25">
      <c r="A115" t="s">
        <v>94</v>
      </c>
      <c r="B115" s="8">
        <v>2012</v>
      </c>
      <c r="C115" t="s">
        <v>100</v>
      </c>
      <c r="D115" t="s">
        <v>8</v>
      </c>
      <c r="F115" t="s">
        <v>52</v>
      </c>
      <c r="G115" s="57">
        <v>17000000</v>
      </c>
      <c r="H115" s="52"/>
      <c r="I115" s="66"/>
    </row>
    <row r="116" spans="1:9" outlineLevel="1" x14ac:dyDescent="0.25">
      <c r="A116" t="s">
        <v>94</v>
      </c>
      <c r="B116" s="8">
        <v>2012</v>
      </c>
      <c r="C116" t="s">
        <v>101</v>
      </c>
      <c r="D116" t="s">
        <v>19</v>
      </c>
      <c r="F116" t="s">
        <v>9</v>
      </c>
      <c r="G116" s="57">
        <v>9000000</v>
      </c>
      <c r="H116" s="52"/>
      <c r="I116" s="66"/>
    </row>
    <row r="117" spans="1:9" outlineLevel="1" x14ac:dyDescent="0.25">
      <c r="A117" t="s">
        <v>104</v>
      </c>
      <c r="B117" s="8">
        <v>2012</v>
      </c>
      <c r="C117" t="s">
        <v>106</v>
      </c>
      <c r="D117" t="s">
        <v>8</v>
      </c>
      <c r="F117" t="s">
        <v>9</v>
      </c>
      <c r="G117" s="57">
        <v>40632041</v>
      </c>
      <c r="H117" s="52"/>
      <c r="I117" s="66"/>
    </row>
    <row r="118" spans="1:9" outlineLevel="1" x14ac:dyDescent="0.25">
      <c r="A118" t="s">
        <v>104</v>
      </c>
      <c r="B118" s="8">
        <v>2012</v>
      </c>
      <c r="C118" t="s">
        <v>111</v>
      </c>
      <c r="D118" t="s">
        <v>19</v>
      </c>
      <c r="F118" t="s">
        <v>112</v>
      </c>
      <c r="G118" s="57">
        <v>7800000</v>
      </c>
      <c r="H118" s="52"/>
      <c r="I118" s="66"/>
    </row>
    <row r="119" spans="1:9" outlineLevel="1" x14ac:dyDescent="0.25">
      <c r="A119" t="s">
        <v>119</v>
      </c>
      <c r="B119" s="8">
        <v>2012</v>
      </c>
      <c r="C119" t="s">
        <v>124</v>
      </c>
      <c r="D119" t="s">
        <v>19</v>
      </c>
      <c r="F119" t="s">
        <v>125</v>
      </c>
      <c r="G119" s="57">
        <v>6985000</v>
      </c>
      <c r="H119" s="52"/>
      <c r="I119" s="66"/>
    </row>
    <row r="120" spans="1:9" outlineLevel="1" x14ac:dyDescent="0.25">
      <c r="A120" t="s">
        <v>129</v>
      </c>
      <c r="B120" s="8">
        <v>2012</v>
      </c>
      <c r="C120" t="s">
        <v>145</v>
      </c>
      <c r="D120" t="s">
        <v>8</v>
      </c>
      <c r="F120" t="s">
        <v>146</v>
      </c>
      <c r="G120" s="57">
        <v>9134220</v>
      </c>
      <c r="H120" s="52"/>
      <c r="I120" s="66"/>
    </row>
    <row r="121" spans="1:9" outlineLevel="1" x14ac:dyDescent="0.25">
      <c r="A121" t="s">
        <v>129</v>
      </c>
      <c r="B121" s="8">
        <v>2012</v>
      </c>
      <c r="C121" t="s">
        <v>147</v>
      </c>
      <c r="D121" t="s">
        <v>8</v>
      </c>
      <c r="F121" t="s">
        <v>146</v>
      </c>
      <c r="G121" s="57">
        <v>11307704</v>
      </c>
      <c r="H121" s="52"/>
      <c r="I121" s="66"/>
    </row>
    <row r="122" spans="1:9" outlineLevel="1" x14ac:dyDescent="0.25">
      <c r="A122" t="s">
        <v>129</v>
      </c>
      <c r="B122" s="8">
        <v>2012</v>
      </c>
      <c r="C122" t="s">
        <v>155</v>
      </c>
      <c r="D122" t="s">
        <v>8</v>
      </c>
      <c r="F122" t="s">
        <v>143</v>
      </c>
      <c r="G122" s="57">
        <v>5238422</v>
      </c>
      <c r="H122" s="52"/>
      <c r="I122" s="66"/>
    </row>
    <row r="123" spans="1:9" outlineLevel="1" x14ac:dyDescent="0.25">
      <c r="A123" t="s">
        <v>129</v>
      </c>
      <c r="B123" s="8">
        <v>2012</v>
      </c>
      <c r="C123" t="s">
        <v>156</v>
      </c>
      <c r="D123" t="s">
        <v>8</v>
      </c>
      <c r="F123" t="s">
        <v>49</v>
      </c>
      <c r="G123" s="57">
        <v>8457224</v>
      </c>
      <c r="H123" s="52"/>
      <c r="I123" s="66"/>
    </row>
    <row r="124" spans="1:9" outlineLevel="1" x14ac:dyDescent="0.25">
      <c r="A124" t="s">
        <v>129</v>
      </c>
      <c r="B124" s="8">
        <v>2012</v>
      </c>
      <c r="C124" t="s">
        <v>157</v>
      </c>
      <c r="D124" t="s">
        <v>8</v>
      </c>
      <c r="F124" t="s">
        <v>49</v>
      </c>
      <c r="G124" s="57">
        <v>11826727</v>
      </c>
      <c r="H124" s="52"/>
      <c r="I124" s="66"/>
    </row>
    <row r="125" spans="1:9" outlineLevel="1" x14ac:dyDescent="0.25">
      <c r="A125" t="s">
        <v>191</v>
      </c>
      <c r="B125" s="8">
        <v>2012</v>
      </c>
      <c r="C125" t="s">
        <v>204</v>
      </c>
      <c r="D125" t="s">
        <v>8</v>
      </c>
      <c r="F125" t="s">
        <v>143</v>
      </c>
      <c r="G125" s="57">
        <v>23879669</v>
      </c>
      <c r="H125" s="52"/>
      <c r="I125" s="66"/>
    </row>
    <row r="126" spans="1:9" outlineLevel="1" x14ac:dyDescent="0.25">
      <c r="A126" t="s">
        <v>191</v>
      </c>
      <c r="B126" s="8">
        <v>2012</v>
      </c>
      <c r="C126" t="s">
        <v>205</v>
      </c>
      <c r="D126" t="s">
        <v>8</v>
      </c>
      <c r="F126" t="s">
        <v>11</v>
      </c>
      <c r="G126" s="57">
        <v>15382088</v>
      </c>
      <c r="H126" s="52"/>
      <c r="I126" s="66"/>
    </row>
    <row r="127" spans="1:9" outlineLevel="1" x14ac:dyDescent="0.25">
      <c r="A127" t="s">
        <v>191</v>
      </c>
      <c r="B127" s="8">
        <v>2012</v>
      </c>
      <c r="C127" t="s">
        <v>213</v>
      </c>
      <c r="D127" t="s">
        <v>214</v>
      </c>
      <c r="F127" t="s">
        <v>215</v>
      </c>
      <c r="G127" s="57">
        <v>16508000</v>
      </c>
      <c r="H127" s="52"/>
      <c r="I127" s="66"/>
    </row>
    <row r="128" spans="1:9" outlineLevel="1" x14ac:dyDescent="0.25">
      <c r="A128" t="s">
        <v>249</v>
      </c>
      <c r="B128" s="8">
        <v>2012</v>
      </c>
      <c r="C128" t="s">
        <v>255</v>
      </c>
      <c r="D128" t="s">
        <v>8</v>
      </c>
      <c r="F128" t="s">
        <v>229</v>
      </c>
      <c r="G128" s="57">
        <v>29794180</v>
      </c>
      <c r="H128" s="52"/>
      <c r="I128" s="66"/>
    </row>
    <row r="129" spans="1:9" outlineLevel="1" x14ac:dyDescent="0.25">
      <c r="A129" t="s">
        <v>269</v>
      </c>
      <c r="B129" s="8">
        <v>2012</v>
      </c>
      <c r="C129" t="s">
        <v>272</v>
      </c>
      <c r="D129" t="s">
        <v>8</v>
      </c>
      <c r="F129" t="s">
        <v>11</v>
      </c>
      <c r="G129" s="57">
        <v>66737161</v>
      </c>
      <c r="H129" s="52"/>
      <c r="I129" s="66"/>
    </row>
    <row r="130" spans="1:9" outlineLevel="1" x14ac:dyDescent="0.25">
      <c r="A130" t="s">
        <v>277</v>
      </c>
      <c r="B130" s="8">
        <v>2012</v>
      </c>
      <c r="C130" t="s">
        <v>284</v>
      </c>
      <c r="D130" t="s">
        <v>8</v>
      </c>
      <c r="F130" t="s">
        <v>9</v>
      </c>
      <c r="G130" s="57">
        <v>20014505</v>
      </c>
      <c r="H130" s="52"/>
      <c r="I130" s="66"/>
    </row>
    <row r="131" spans="1:9" outlineLevel="1" x14ac:dyDescent="0.25">
      <c r="A131" t="s">
        <v>277</v>
      </c>
      <c r="B131" s="8">
        <v>2012</v>
      </c>
      <c r="C131" t="s">
        <v>285</v>
      </c>
      <c r="D131" t="s">
        <v>8</v>
      </c>
      <c r="F131" t="s">
        <v>11</v>
      </c>
      <c r="G131" s="57">
        <v>7334710</v>
      </c>
      <c r="H131" s="52"/>
      <c r="I131" s="66"/>
    </row>
    <row r="132" spans="1:9" outlineLevel="1" x14ac:dyDescent="0.25">
      <c r="A132" t="s">
        <v>277</v>
      </c>
      <c r="B132" s="8">
        <v>2012</v>
      </c>
      <c r="C132" t="s">
        <v>286</v>
      </c>
      <c r="D132" t="s">
        <v>8</v>
      </c>
      <c r="F132" t="s">
        <v>9</v>
      </c>
      <c r="G132" s="57">
        <v>11770972</v>
      </c>
      <c r="H132" s="52"/>
      <c r="I132" s="66"/>
    </row>
    <row r="133" spans="1:9" outlineLevel="1" x14ac:dyDescent="0.25">
      <c r="A133" t="s">
        <v>277</v>
      </c>
      <c r="B133" s="8">
        <v>2012</v>
      </c>
      <c r="C133" t="s">
        <v>287</v>
      </c>
      <c r="D133" t="s">
        <v>8</v>
      </c>
      <c r="F133" t="s">
        <v>9</v>
      </c>
      <c r="G133" s="57">
        <v>7577000</v>
      </c>
      <c r="H133" s="52"/>
      <c r="I133" s="66"/>
    </row>
    <row r="134" spans="1:9" x14ac:dyDescent="0.25">
      <c r="A134" s="40"/>
      <c r="B134" s="40" t="s">
        <v>303</v>
      </c>
      <c r="C134" s="40">
        <f>COUNTA(C107:C133)</f>
        <v>27</v>
      </c>
      <c r="D134" s="101">
        <f>E134/C134</f>
        <v>0.85185185185185186</v>
      </c>
      <c r="E134" s="105">
        <f>COUNTIF(D107:D133,"*CMAR*")+COUNTIF(D107:D133, "*Design/Build*")+COUNTIF(D107:D133, "*PPEA*")+COUNTIF(D107:D133, "*Competitive Negotiation*")+COUNTIF(D107:D133, "*Sole Source*")+COUNTIF(D107:D133,"*Internal*")+COUNTIF(D107:D133, "*Lease Capital*")</f>
        <v>23</v>
      </c>
      <c r="F134" s="105"/>
      <c r="G134" s="58">
        <f>SUM(G107:G133)</f>
        <v>508512488</v>
      </c>
      <c r="H134" s="58">
        <f>G134-(G110+G116+G118+G119)</f>
        <v>478902488</v>
      </c>
      <c r="I134" s="67">
        <f>H134/G134</f>
        <v>0.94177134151324915</v>
      </c>
    </row>
    <row r="135" spans="1:9" outlineLevel="1" x14ac:dyDescent="0.25">
      <c r="A135" t="s">
        <v>23</v>
      </c>
      <c r="B135" s="8">
        <v>2013</v>
      </c>
      <c r="C135" t="s">
        <v>40</v>
      </c>
      <c r="D135" t="s">
        <v>33</v>
      </c>
      <c r="F135" t="s">
        <v>31</v>
      </c>
      <c r="G135" s="57">
        <v>15878554</v>
      </c>
      <c r="H135" s="52"/>
      <c r="I135" s="66"/>
    </row>
    <row r="136" spans="1:9" outlineLevel="1" x14ac:dyDescent="0.25">
      <c r="A136" t="s">
        <v>23</v>
      </c>
      <c r="B136" s="8">
        <v>2013</v>
      </c>
      <c r="C136" t="s">
        <v>41</v>
      </c>
      <c r="D136" t="s">
        <v>33</v>
      </c>
      <c r="F136" t="s">
        <v>42</v>
      </c>
      <c r="G136" s="57">
        <v>15056821</v>
      </c>
      <c r="H136" s="52"/>
      <c r="I136" s="66"/>
    </row>
    <row r="137" spans="1:9" outlineLevel="1" x14ac:dyDescent="0.25">
      <c r="A137" t="s">
        <v>47</v>
      </c>
      <c r="B137" s="8">
        <v>2013</v>
      </c>
      <c r="C137" t="s">
        <v>56</v>
      </c>
      <c r="D137" t="s">
        <v>8</v>
      </c>
      <c r="F137" t="s">
        <v>49</v>
      </c>
      <c r="G137" s="57">
        <v>38996387</v>
      </c>
      <c r="H137" s="52"/>
      <c r="I137" s="66"/>
    </row>
    <row r="138" spans="1:9" outlineLevel="1" x14ac:dyDescent="0.25">
      <c r="A138" t="s">
        <v>73</v>
      </c>
      <c r="B138" s="8">
        <v>2013</v>
      </c>
      <c r="C138" t="s">
        <v>78</v>
      </c>
      <c r="D138" t="s">
        <v>19</v>
      </c>
      <c r="F138" t="s">
        <v>79</v>
      </c>
      <c r="G138" s="57">
        <v>6905660</v>
      </c>
      <c r="H138" s="52"/>
      <c r="I138" s="66"/>
    </row>
    <row r="139" spans="1:9" outlineLevel="1" x14ac:dyDescent="0.25">
      <c r="A139" t="s">
        <v>73</v>
      </c>
      <c r="B139" s="8">
        <v>2013</v>
      </c>
      <c r="C139" t="s">
        <v>80</v>
      </c>
      <c r="D139" t="s">
        <v>19</v>
      </c>
      <c r="F139" t="s">
        <v>81</v>
      </c>
      <c r="G139" s="57">
        <v>12325000</v>
      </c>
      <c r="H139" s="52"/>
      <c r="I139" s="66"/>
    </row>
    <row r="140" spans="1:9" outlineLevel="1" x14ac:dyDescent="0.25">
      <c r="A140" t="s">
        <v>73</v>
      </c>
      <c r="B140" s="8">
        <v>2013</v>
      </c>
      <c r="C140" t="s">
        <v>82</v>
      </c>
      <c r="D140" t="s">
        <v>19</v>
      </c>
      <c r="F140" t="s">
        <v>83</v>
      </c>
      <c r="G140" s="57">
        <v>7933000</v>
      </c>
      <c r="H140" s="52"/>
      <c r="I140" s="66"/>
    </row>
    <row r="141" spans="1:9" outlineLevel="1" x14ac:dyDescent="0.25">
      <c r="A141" s="21" t="s">
        <v>73</v>
      </c>
      <c r="B141" s="106">
        <v>2013</v>
      </c>
      <c r="C141" s="21" t="s">
        <v>86</v>
      </c>
      <c r="D141" s="21" t="s">
        <v>8</v>
      </c>
      <c r="F141" s="21" t="s">
        <v>52</v>
      </c>
      <c r="G141" s="56">
        <v>28635950</v>
      </c>
      <c r="H141" s="52"/>
      <c r="I141" s="66"/>
    </row>
    <row r="142" spans="1:9" outlineLevel="1" x14ac:dyDescent="0.25">
      <c r="A142" s="6" t="s">
        <v>89</v>
      </c>
      <c r="B142" s="14">
        <v>2013</v>
      </c>
      <c r="C142" s="6" t="s">
        <v>93</v>
      </c>
      <c r="D142" s="6" t="s">
        <v>8</v>
      </c>
      <c r="F142" s="6" t="s">
        <v>69</v>
      </c>
      <c r="G142" s="60">
        <v>37374141</v>
      </c>
      <c r="H142" s="52"/>
      <c r="I142" s="66"/>
    </row>
    <row r="143" spans="1:9" outlineLevel="1" x14ac:dyDescent="0.25">
      <c r="A143" t="s">
        <v>94</v>
      </c>
      <c r="B143" s="8">
        <v>2013</v>
      </c>
      <c r="C143" t="s">
        <v>96</v>
      </c>
      <c r="D143" t="s">
        <v>8</v>
      </c>
      <c r="F143" t="s">
        <v>69</v>
      </c>
      <c r="G143" s="57">
        <v>13000000</v>
      </c>
      <c r="H143" s="52"/>
      <c r="I143" s="66"/>
    </row>
    <row r="144" spans="1:9" outlineLevel="1" x14ac:dyDescent="0.25">
      <c r="A144" t="s">
        <v>104</v>
      </c>
      <c r="B144" s="8">
        <v>2013</v>
      </c>
      <c r="C144" t="s">
        <v>107</v>
      </c>
      <c r="D144" t="s">
        <v>8</v>
      </c>
      <c r="F144" t="s">
        <v>52</v>
      </c>
      <c r="G144" s="57">
        <v>27750000</v>
      </c>
      <c r="H144" s="52"/>
      <c r="I144" s="66"/>
    </row>
    <row r="145" spans="1:9" outlineLevel="1" x14ac:dyDescent="0.25">
      <c r="A145" t="s">
        <v>119</v>
      </c>
      <c r="B145" s="8">
        <v>2013</v>
      </c>
      <c r="C145" t="s">
        <v>122</v>
      </c>
      <c r="D145" t="s">
        <v>121</v>
      </c>
      <c r="F145" t="s">
        <v>9</v>
      </c>
      <c r="G145" s="57">
        <v>26938797</v>
      </c>
      <c r="H145" s="52"/>
      <c r="I145" s="66"/>
    </row>
    <row r="146" spans="1:9" outlineLevel="1" x14ac:dyDescent="0.25">
      <c r="A146" t="s">
        <v>129</v>
      </c>
      <c r="B146" s="8">
        <v>2013</v>
      </c>
      <c r="C146" t="s">
        <v>148</v>
      </c>
      <c r="D146" t="s">
        <v>8</v>
      </c>
      <c r="F146" t="s">
        <v>49</v>
      </c>
      <c r="G146" s="57">
        <v>17418193</v>
      </c>
      <c r="H146" s="52"/>
      <c r="I146" s="66"/>
    </row>
    <row r="147" spans="1:9" outlineLevel="1" x14ac:dyDescent="0.25">
      <c r="A147" t="s">
        <v>129</v>
      </c>
      <c r="B147" s="8">
        <v>2013</v>
      </c>
      <c r="C147" t="s">
        <v>158</v>
      </c>
      <c r="D147" t="s">
        <v>8</v>
      </c>
      <c r="F147" t="s">
        <v>134</v>
      </c>
      <c r="G147" s="57">
        <v>22774649</v>
      </c>
      <c r="H147" s="52"/>
      <c r="I147" s="66"/>
    </row>
    <row r="148" spans="1:9" outlineLevel="1" x14ac:dyDescent="0.25">
      <c r="A148" s="21" t="s">
        <v>189</v>
      </c>
      <c r="B148" s="106">
        <v>2013</v>
      </c>
      <c r="C148" s="21" t="s">
        <v>190</v>
      </c>
      <c r="D148" s="21" t="s">
        <v>8</v>
      </c>
      <c r="F148" s="21" t="s">
        <v>9</v>
      </c>
      <c r="G148" s="56">
        <v>7760889</v>
      </c>
      <c r="H148" s="52"/>
      <c r="I148" s="66"/>
    </row>
    <row r="149" spans="1:9" outlineLevel="1" x14ac:dyDescent="0.25">
      <c r="A149" t="s">
        <v>191</v>
      </c>
      <c r="B149" s="8">
        <v>2013</v>
      </c>
      <c r="C149" t="s">
        <v>216</v>
      </c>
      <c r="D149" t="s">
        <v>217</v>
      </c>
      <c r="F149" t="s">
        <v>218</v>
      </c>
      <c r="G149" s="57">
        <v>14000000</v>
      </c>
      <c r="H149" s="52"/>
      <c r="I149" s="66"/>
    </row>
    <row r="150" spans="1:9" outlineLevel="1" x14ac:dyDescent="0.25">
      <c r="A150" t="s">
        <v>227</v>
      </c>
      <c r="B150" s="8">
        <v>2013</v>
      </c>
      <c r="C150" t="s">
        <v>237</v>
      </c>
      <c r="D150" t="s">
        <v>19</v>
      </c>
      <c r="F150" t="s">
        <v>125</v>
      </c>
      <c r="G150" s="57">
        <v>11674470</v>
      </c>
      <c r="H150" s="52"/>
      <c r="I150" s="66"/>
    </row>
    <row r="151" spans="1:9" outlineLevel="1" x14ac:dyDescent="0.25">
      <c r="A151" t="s">
        <v>249</v>
      </c>
      <c r="B151" s="8">
        <v>2013</v>
      </c>
      <c r="C151" t="s">
        <v>256</v>
      </c>
      <c r="D151" t="s">
        <v>8</v>
      </c>
      <c r="F151" t="s">
        <v>146</v>
      </c>
      <c r="G151" s="57">
        <v>29852815</v>
      </c>
      <c r="H151" s="52"/>
      <c r="I151" s="66"/>
    </row>
    <row r="152" spans="1:9" outlineLevel="1" x14ac:dyDescent="0.25">
      <c r="A152" t="s">
        <v>249</v>
      </c>
      <c r="B152" s="8">
        <v>2013</v>
      </c>
      <c r="C152" t="s">
        <v>257</v>
      </c>
      <c r="D152" t="s">
        <v>8</v>
      </c>
      <c r="F152" t="s">
        <v>52</v>
      </c>
      <c r="G152" s="57">
        <v>7962123</v>
      </c>
      <c r="H152" s="52"/>
      <c r="I152" s="66"/>
    </row>
    <row r="153" spans="1:9" outlineLevel="1" x14ac:dyDescent="0.25">
      <c r="A153" t="s">
        <v>249</v>
      </c>
      <c r="B153" s="8">
        <v>2013</v>
      </c>
      <c r="C153" t="s">
        <v>261</v>
      </c>
      <c r="D153" t="s">
        <v>33</v>
      </c>
      <c r="F153" t="s">
        <v>9</v>
      </c>
      <c r="G153" s="57">
        <v>33247088</v>
      </c>
      <c r="H153" s="52"/>
      <c r="I153" s="66"/>
    </row>
    <row r="154" spans="1:9" outlineLevel="1" x14ac:dyDescent="0.25">
      <c r="A154" t="s">
        <v>249</v>
      </c>
      <c r="B154" s="8">
        <v>2013</v>
      </c>
      <c r="C154" t="s">
        <v>263</v>
      </c>
      <c r="D154" t="s">
        <v>33</v>
      </c>
      <c r="F154" t="s">
        <v>69</v>
      </c>
      <c r="G154" s="57">
        <v>23546845</v>
      </c>
      <c r="H154" s="52"/>
      <c r="I154" s="66"/>
    </row>
    <row r="155" spans="1:9" outlineLevel="1" x14ac:dyDescent="0.25">
      <c r="A155" t="s">
        <v>277</v>
      </c>
      <c r="B155" s="8">
        <v>2013</v>
      </c>
      <c r="C155" t="s">
        <v>288</v>
      </c>
      <c r="D155" t="s">
        <v>8</v>
      </c>
      <c r="F155" t="s">
        <v>146</v>
      </c>
      <c r="G155" s="57">
        <v>5260000</v>
      </c>
      <c r="H155" s="52"/>
      <c r="I155" s="66"/>
    </row>
    <row r="156" spans="1:9" x14ac:dyDescent="0.25">
      <c r="A156" s="40"/>
      <c r="B156" s="40" t="s">
        <v>305</v>
      </c>
      <c r="C156" s="40">
        <f>COUNTA(C135:C155)</f>
        <v>21</v>
      </c>
      <c r="D156" s="101">
        <f>E156/C156</f>
        <v>0.80952380952380953</v>
      </c>
      <c r="E156" s="105">
        <f>COUNTIF(D135:D155,"*CMAR*")+COUNTIF(D135:D155, "*Design/Build*")+COUNTIF(D135:D155, "*PPEA*")+COUNTIF(D135:D155, "*Competitive Negotiation*")+COUNTIF(D135:D155, "*Sole Source*")+COUNTIF(D135:D155,"*Internal*")+COUNTIF(D135:D155, "*Lease Capital*")</f>
        <v>17</v>
      </c>
      <c r="F156" s="105"/>
      <c r="G156" s="58">
        <f>SUM(G135:G155)</f>
        <v>404291382</v>
      </c>
      <c r="H156" s="58">
        <f>G156-(G150+G138+G139+G140)</f>
        <v>365453252</v>
      </c>
      <c r="I156" s="67">
        <f>H156/G156</f>
        <v>0.90393530080242968</v>
      </c>
    </row>
    <row r="157" spans="1:9" outlineLevel="1" x14ac:dyDescent="0.25">
      <c r="A157" t="s">
        <v>6</v>
      </c>
      <c r="B157" s="8">
        <v>2014</v>
      </c>
      <c r="C157" t="s">
        <v>16</v>
      </c>
      <c r="D157" t="s">
        <v>8</v>
      </c>
      <c r="F157" t="s">
        <v>11</v>
      </c>
      <c r="G157" s="57">
        <v>42000000</v>
      </c>
      <c r="H157" s="52"/>
      <c r="I157" s="66"/>
    </row>
    <row r="158" spans="1:9" outlineLevel="1" x14ac:dyDescent="0.25">
      <c r="A158" t="s">
        <v>23</v>
      </c>
      <c r="B158" s="8">
        <v>2014</v>
      </c>
      <c r="C158" t="s">
        <v>25</v>
      </c>
      <c r="D158" t="s">
        <v>8</v>
      </c>
      <c r="F158" t="s">
        <v>11</v>
      </c>
      <c r="G158" s="57">
        <v>40509946</v>
      </c>
      <c r="H158" s="52"/>
      <c r="I158" s="66"/>
    </row>
    <row r="159" spans="1:9" outlineLevel="1" x14ac:dyDescent="0.25">
      <c r="A159" t="s">
        <v>23</v>
      </c>
      <c r="B159" s="8">
        <v>2014</v>
      </c>
      <c r="C159" t="s">
        <v>30</v>
      </c>
      <c r="D159" t="s">
        <v>19</v>
      </c>
      <c r="F159" t="s">
        <v>31</v>
      </c>
      <c r="G159" s="57">
        <v>8603478</v>
      </c>
      <c r="H159" s="52"/>
      <c r="I159" s="66"/>
    </row>
    <row r="160" spans="1:9" outlineLevel="1" x14ac:dyDescent="0.25">
      <c r="A160" t="s">
        <v>47</v>
      </c>
      <c r="B160" s="8">
        <v>2014</v>
      </c>
      <c r="C160" t="s">
        <v>57</v>
      </c>
      <c r="D160" t="s">
        <v>8</v>
      </c>
      <c r="F160" t="s">
        <v>58</v>
      </c>
      <c r="G160" s="57">
        <v>42712270</v>
      </c>
      <c r="H160" s="52"/>
      <c r="I160" s="66"/>
    </row>
    <row r="161" spans="1:9" outlineLevel="1" x14ac:dyDescent="0.25">
      <c r="A161" t="s">
        <v>47</v>
      </c>
      <c r="B161" s="8">
        <v>2014</v>
      </c>
      <c r="C161" t="s">
        <v>59</v>
      </c>
      <c r="D161" t="s">
        <v>8</v>
      </c>
      <c r="F161" t="s">
        <v>52</v>
      </c>
      <c r="G161" s="57">
        <v>48789838</v>
      </c>
      <c r="H161" s="52"/>
      <c r="I161" s="66"/>
    </row>
    <row r="162" spans="1:9" outlineLevel="1" x14ac:dyDescent="0.25">
      <c r="A162" t="s">
        <v>94</v>
      </c>
      <c r="B162" s="8">
        <v>2014</v>
      </c>
      <c r="C162" t="s">
        <v>97</v>
      </c>
      <c r="D162" t="s">
        <v>8</v>
      </c>
      <c r="F162" t="s">
        <v>69</v>
      </c>
      <c r="G162" s="57">
        <v>6000000</v>
      </c>
      <c r="H162" s="52"/>
      <c r="I162" s="66"/>
    </row>
    <row r="163" spans="1:9" outlineLevel="1" x14ac:dyDescent="0.25">
      <c r="A163" t="s">
        <v>94</v>
      </c>
      <c r="B163" s="8">
        <v>2014</v>
      </c>
      <c r="C163" t="s">
        <v>98</v>
      </c>
      <c r="D163" t="s">
        <v>8</v>
      </c>
      <c r="F163" t="s">
        <v>69</v>
      </c>
      <c r="G163" s="57">
        <v>42600000</v>
      </c>
      <c r="H163" s="52"/>
      <c r="I163" s="66"/>
    </row>
    <row r="164" spans="1:9" outlineLevel="1" x14ac:dyDescent="0.25">
      <c r="A164" t="s">
        <v>104</v>
      </c>
      <c r="B164" s="8">
        <v>2014</v>
      </c>
      <c r="C164" t="s">
        <v>108</v>
      </c>
      <c r="D164" t="s">
        <v>8</v>
      </c>
      <c r="F164" t="s">
        <v>69</v>
      </c>
      <c r="G164" s="57">
        <v>40214071</v>
      </c>
      <c r="H164" s="52"/>
      <c r="I164" s="66"/>
    </row>
    <row r="165" spans="1:9" outlineLevel="1" x14ac:dyDescent="0.25">
      <c r="A165" t="s">
        <v>104</v>
      </c>
      <c r="B165" s="8">
        <v>2014</v>
      </c>
      <c r="C165" t="s">
        <v>113</v>
      </c>
      <c r="D165" t="s">
        <v>19</v>
      </c>
      <c r="F165" t="s">
        <v>112</v>
      </c>
      <c r="G165" s="57">
        <v>23275715</v>
      </c>
      <c r="H165" s="52"/>
      <c r="I165" s="66"/>
    </row>
    <row r="166" spans="1:9" outlineLevel="1" x14ac:dyDescent="0.25">
      <c r="A166" t="s">
        <v>104</v>
      </c>
      <c r="B166" s="8">
        <v>2014</v>
      </c>
      <c r="C166" t="s">
        <v>114</v>
      </c>
      <c r="D166" t="s">
        <v>19</v>
      </c>
      <c r="F166" t="s">
        <v>115</v>
      </c>
      <c r="G166" s="57">
        <v>6424000</v>
      </c>
      <c r="H166" s="52"/>
      <c r="I166" s="66"/>
    </row>
    <row r="167" spans="1:9" outlineLevel="1" x14ac:dyDescent="0.25">
      <c r="A167" t="s">
        <v>119</v>
      </c>
      <c r="B167" s="8">
        <v>2014</v>
      </c>
      <c r="C167" t="s">
        <v>123</v>
      </c>
      <c r="D167" t="s">
        <v>121</v>
      </c>
      <c r="F167" t="s">
        <v>9</v>
      </c>
      <c r="G167" s="57">
        <v>25698255</v>
      </c>
      <c r="H167" s="52"/>
      <c r="I167" s="66"/>
    </row>
    <row r="168" spans="1:9" outlineLevel="1" x14ac:dyDescent="0.25">
      <c r="A168" t="s">
        <v>129</v>
      </c>
      <c r="B168" s="8">
        <v>2014</v>
      </c>
      <c r="C168" t="s">
        <v>149</v>
      </c>
      <c r="D168" t="s">
        <v>8</v>
      </c>
      <c r="F168" t="s">
        <v>150</v>
      </c>
      <c r="G168" s="57">
        <v>7940472</v>
      </c>
      <c r="H168" s="52"/>
      <c r="I168" s="66"/>
    </row>
    <row r="169" spans="1:9" outlineLevel="1" x14ac:dyDescent="0.25">
      <c r="A169" t="s">
        <v>129</v>
      </c>
      <c r="B169" s="8">
        <v>2014</v>
      </c>
      <c r="C169" t="s">
        <v>151</v>
      </c>
      <c r="D169" t="s">
        <v>8</v>
      </c>
      <c r="F169" t="s">
        <v>11</v>
      </c>
      <c r="G169" s="57">
        <v>7995068</v>
      </c>
      <c r="H169" s="52"/>
      <c r="I169" s="66"/>
    </row>
    <row r="170" spans="1:9" outlineLevel="1" x14ac:dyDescent="0.25">
      <c r="A170" t="s">
        <v>129</v>
      </c>
      <c r="B170" s="8">
        <v>2014</v>
      </c>
      <c r="C170" t="s">
        <v>152</v>
      </c>
      <c r="D170" t="s">
        <v>8</v>
      </c>
      <c r="F170" t="s">
        <v>11</v>
      </c>
      <c r="G170" s="57">
        <v>7151160</v>
      </c>
      <c r="H170" s="52"/>
      <c r="I170" s="66"/>
    </row>
    <row r="171" spans="1:9" outlineLevel="1" x14ac:dyDescent="0.25">
      <c r="A171" t="s">
        <v>129</v>
      </c>
      <c r="B171" s="8">
        <v>2014</v>
      </c>
      <c r="C171" t="s">
        <v>153</v>
      </c>
      <c r="D171" t="s">
        <v>8</v>
      </c>
      <c r="F171" t="s">
        <v>11</v>
      </c>
      <c r="G171" s="57">
        <v>12565643</v>
      </c>
      <c r="H171" s="52"/>
      <c r="I171" s="66"/>
    </row>
    <row r="172" spans="1:9" outlineLevel="1" x14ac:dyDescent="0.25">
      <c r="A172" t="s">
        <v>129</v>
      </c>
      <c r="B172" s="8">
        <v>2014</v>
      </c>
      <c r="C172" t="s">
        <v>154</v>
      </c>
      <c r="D172" t="s">
        <v>8</v>
      </c>
      <c r="F172" t="s">
        <v>49</v>
      </c>
      <c r="G172" s="57">
        <v>20687149</v>
      </c>
      <c r="H172" s="52"/>
      <c r="I172" s="66"/>
    </row>
    <row r="173" spans="1:9" outlineLevel="1" x14ac:dyDescent="0.25">
      <c r="A173" t="s">
        <v>191</v>
      </c>
      <c r="B173" s="8">
        <v>2014</v>
      </c>
      <c r="C173" t="s">
        <v>206</v>
      </c>
      <c r="D173" t="s">
        <v>8</v>
      </c>
      <c r="F173" t="s">
        <v>143</v>
      </c>
      <c r="G173" s="57">
        <v>69704066</v>
      </c>
      <c r="H173" s="52"/>
      <c r="I173" s="66"/>
    </row>
    <row r="174" spans="1:9" outlineLevel="1" x14ac:dyDescent="0.25">
      <c r="A174" t="s">
        <v>191</v>
      </c>
      <c r="B174" s="8">
        <v>2014</v>
      </c>
      <c r="C174" t="s">
        <v>212</v>
      </c>
      <c r="D174" t="s">
        <v>33</v>
      </c>
      <c r="F174" t="s">
        <v>9</v>
      </c>
      <c r="G174" s="57">
        <v>18000000</v>
      </c>
      <c r="H174" s="52"/>
      <c r="I174" s="66"/>
    </row>
    <row r="175" spans="1:9" outlineLevel="1" x14ac:dyDescent="0.25">
      <c r="A175" t="s">
        <v>227</v>
      </c>
      <c r="B175" s="8">
        <v>2014</v>
      </c>
      <c r="C175" t="s">
        <v>236</v>
      </c>
      <c r="D175" t="s">
        <v>8</v>
      </c>
      <c r="F175" t="s">
        <v>11</v>
      </c>
      <c r="G175" s="57">
        <v>18887949</v>
      </c>
      <c r="H175" s="52"/>
      <c r="I175" s="66"/>
    </row>
    <row r="176" spans="1:9" outlineLevel="1" x14ac:dyDescent="0.25">
      <c r="A176" t="s">
        <v>227</v>
      </c>
      <c r="B176" s="8">
        <v>2014</v>
      </c>
      <c r="C176" t="s">
        <v>238</v>
      </c>
      <c r="D176" t="s">
        <v>19</v>
      </c>
      <c r="F176" t="s">
        <v>239</v>
      </c>
      <c r="G176" s="57">
        <v>11109600</v>
      </c>
      <c r="H176" s="52"/>
      <c r="I176" s="66"/>
    </row>
    <row r="177" spans="1:9" outlineLevel="1" x14ac:dyDescent="0.25">
      <c r="A177" t="s">
        <v>227</v>
      </c>
      <c r="B177" s="8">
        <v>2014</v>
      </c>
      <c r="C177" t="s">
        <v>240</v>
      </c>
      <c r="D177" t="s">
        <v>19</v>
      </c>
      <c r="F177" t="s">
        <v>75</v>
      </c>
      <c r="G177" s="57">
        <v>24698825</v>
      </c>
      <c r="H177" s="52"/>
      <c r="I177" s="66"/>
    </row>
    <row r="178" spans="1:9" outlineLevel="1" x14ac:dyDescent="0.25">
      <c r="A178" t="s">
        <v>227</v>
      </c>
      <c r="B178" s="8">
        <v>2014</v>
      </c>
      <c r="C178" t="s">
        <v>246</v>
      </c>
      <c r="D178" t="s">
        <v>8</v>
      </c>
      <c r="F178" t="s">
        <v>229</v>
      </c>
      <c r="G178" s="57">
        <v>12151212</v>
      </c>
      <c r="H178" s="52"/>
      <c r="I178" s="66"/>
    </row>
    <row r="179" spans="1:9" outlineLevel="1" x14ac:dyDescent="0.25">
      <c r="A179" t="s">
        <v>227</v>
      </c>
      <c r="B179" s="8">
        <v>2014</v>
      </c>
      <c r="C179" t="s">
        <v>247</v>
      </c>
      <c r="D179" t="s">
        <v>8</v>
      </c>
      <c r="F179" t="s">
        <v>69</v>
      </c>
      <c r="G179" s="57">
        <v>18956502</v>
      </c>
      <c r="H179" s="52"/>
      <c r="I179" s="66"/>
    </row>
    <row r="180" spans="1:9" outlineLevel="1" x14ac:dyDescent="0.25">
      <c r="A180" t="s">
        <v>249</v>
      </c>
      <c r="B180" s="8">
        <v>2014</v>
      </c>
      <c r="C180" t="s">
        <v>258</v>
      </c>
      <c r="D180" t="s">
        <v>8</v>
      </c>
      <c r="F180" t="s">
        <v>9</v>
      </c>
      <c r="G180" s="57">
        <v>37092578</v>
      </c>
      <c r="H180" s="52"/>
      <c r="I180" s="66"/>
    </row>
    <row r="181" spans="1:9" outlineLevel="1" x14ac:dyDescent="0.25">
      <c r="A181" t="s">
        <v>249</v>
      </c>
      <c r="B181" s="8">
        <v>2014</v>
      </c>
      <c r="C181" t="s">
        <v>259</v>
      </c>
      <c r="D181" t="s">
        <v>8</v>
      </c>
      <c r="F181" t="s">
        <v>31</v>
      </c>
      <c r="G181" s="57">
        <v>12058600</v>
      </c>
      <c r="H181" s="52"/>
      <c r="I181" s="66"/>
    </row>
    <row r="182" spans="1:9" outlineLevel="1" x14ac:dyDescent="0.25">
      <c r="A182" t="s">
        <v>249</v>
      </c>
      <c r="B182" s="8">
        <v>2014</v>
      </c>
      <c r="C182" t="s">
        <v>260</v>
      </c>
      <c r="D182" t="s">
        <v>8</v>
      </c>
      <c r="F182" t="s">
        <v>75</v>
      </c>
      <c r="G182" s="57">
        <v>5468139</v>
      </c>
      <c r="H182" s="52"/>
      <c r="I182" s="66"/>
    </row>
    <row r="183" spans="1:9" outlineLevel="1" x14ac:dyDescent="0.25">
      <c r="A183" t="s">
        <v>269</v>
      </c>
      <c r="B183" s="8">
        <v>2014</v>
      </c>
      <c r="C183" t="s">
        <v>273</v>
      </c>
      <c r="D183" t="s">
        <v>8</v>
      </c>
      <c r="F183" t="s">
        <v>75</v>
      </c>
      <c r="G183" s="57">
        <v>28876276</v>
      </c>
      <c r="H183" s="52"/>
      <c r="I183" s="66"/>
    </row>
    <row r="184" spans="1:9" outlineLevel="1" x14ac:dyDescent="0.25">
      <c r="A184" t="s">
        <v>277</v>
      </c>
      <c r="B184" s="8">
        <v>2014</v>
      </c>
      <c r="C184" t="s">
        <v>289</v>
      </c>
      <c r="D184" t="s">
        <v>8</v>
      </c>
      <c r="F184" t="s">
        <v>143</v>
      </c>
      <c r="G184" s="57">
        <v>22078719</v>
      </c>
      <c r="H184" s="52"/>
      <c r="I184" s="66"/>
    </row>
    <row r="185" spans="1:9" outlineLevel="1" x14ac:dyDescent="0.25">
      <c r="A185" t="s">
        <v>277</v>
      </c>
      <c r="B185" s="8">
        <v>2014</v>
      </c>
      <c r="C185" t="s">
        <v>290</v>
      </c>
      <c r="D185" t="s">
        <v>8</v>
      </c>
      <c r="F185" t="s">
        <v>58</v>
      </c>
      <c r="G185" s="57">
        <v>5600000</v>
      </c>
      <c r="H185" s="52"/>
      <c r="I185" s="66"/>
    </row>
    <row r="186" spans="1:9" x14ac:dyDescent="0.25">
      <c r="A186" s="40"/>
      <c r="B186" s="40" t="s">
        <v>306</v>
      </c>
      <c r="C186" s="40">
        <f>COUNTA(C157:C185)</f>
        <v>29</v>
      </c>
      <c r="D186" s="101">
        <f>E186/C186</f>
        <v>0.82758620689655171</v>
      </c>
      <c r="E186" s="105">
        <f>COUNTIF(D157:D185,"*CMAR*")+COUNTIF(D157:D185, "*Design/Build*")+COUNTIF(D157:D185, "*PPEA*")+COUNTIF(D157:D185, "*Competitive Negotiation*")+COUNTIF(D157:D185, "*Sole Source*")+COUNTIF(D157:D185,"*Internal*")+COUNTIF(D157:D185, "*Lease Capital*")</f>
        <v>24</v>
      </c>
      <c r="F186" s="105"/>
      <c r="G186" s="58">
        <f>SUM(G157:G185)</f>
        <v>667849531</v>
      </c>
      <c r="H186" s="58">
        <f>G186-(G159+G165+G166+G176+G177)</f>
        <v>593737913</v>
      </c>
      <c r="I186" s="67">
        <f>H186/G186</f>
        <v>0.88902946762719226</v>
      </c>
    </row>
    <row r="187" spans="1:9" outlineLevel="1" x14ac:dyDescent="0.25">
      <c r="A187" s="21" t="s">
        <v>89</v>
      </c>
      <c r="B187" s="106">
        <v>2015</v>
      </c>
      <c r="C187" s="21" t="s">
        <v>90</v>
      </c>
      <c r="D187" s="21" t="s">
        <v>8</v>
      </c>
      <c r="F187" s="21" t="s">
        <v>69</v>
      </c>
      <c r="G187" s="56">
        <v>60584000</v>
      </c>
      <c r="H187" s="52"/>
      <c r="I187" s="66"/>
    </row>
    <row r="188" spans="1:9" outlineLevel="1" x14ac:dyDescent="0.25">
      <c r="A188" s="21" t="s">
        <v>94</v>
      </c>
      <c r="B188" s="106">
        <v>2015</v>
      </c>
      <c r="C188" s="21" t="s">
        <v>102</v>
      </c>
      <c r="D188" s="21" t="s">
        <v>19</v>
      </c>
      <c r="F188" s="21" t="s">
        <v>103</v>
      </c>
      <c r="G188" s="56">
        <v>6592833</v>
      </c>
      <c r="H188" s="52"/>
      <c r="I188" s="66"/>
    </row>
    <row r="189" spans="1:9" outlineLevel="1" x14ac:dyDescent="0.25">
      <c r="A189" s="19" t="s">
        <v>191</v>
      </c>
      <c r="B189" s="39">
        <v>2015</v>
      </c>
      <c r="C189" s="19" t="s">
        <v>222</v>
      </c>
      <c r="D189" s="19" t="s">
        <v>8</v>
      </c>
      <c r="F189" s="19" t="s">
        <v>9</v>
      </c>
      <c r="G189" s="59">
        <v>30600000</v>
      </c>
      <c r="H189" s="52"/>
      <c r="I189" s="66"/>
    </row>
    <row r="190" spans="1:9" outlineLevel="1" x14ac:dyDescent="0.25">
      <c r="A190" s="19" t="s">
        <v>249</v>
      </c>
      <c r="B190" s="39">
        <v>2015</v>
      </c>
      <c r="C190" s="19" t="s">
        <v>267</v>
      </c>
      <c r="D190" s="19" t="s">
        <v>8</v>
      </c>
      <c r="F190" s="19" t="s">
        <v>11</v>
      </c>
      <c r="G190" s="59">
        <v>61494549</v>
      </c>
      <c r="H190" s="52"/>
      <c r="I190" s="66"/>
    </row>
    <row r="191" spans="1:9" outlineLevel="1" x14ac:dyDescent="0.25">
      <c r="A191" s="19" t="s">
        <v>269</v>
      </c>
      <c r="B191" s="39">
        <v>2015</v>
      </c>
      <c r="C191" s="19" t="s">
        <v>274</v>
      </c>
      <c r="D191" s="19" t="s">
        <v>8</v>
      </c>
      <c r="F191" s="19" t="s">
        <v>9</v>
      </c>
      <c r="G191" s="59">
        <v>19521343</v>
      </c>
      <c r="H191" s="52"/>
      <c r="I191" s="66"/>
    </row>
    <row r="192" spans="1:9" outlineLevel="1" x14ac:dyDescent="0.25">
      <c r="A192" s="19" t="s">
        <v>269</v>
      </c>
      <c r="B192" s="39">
        <v>2015</v>
      </c>
      <c r="C192" s="19" t="s">
        <v>275</v>
      </c>
      <c r="D192" s="19" t="s">
        <v>8</v>
      </c>
      <c r="F192" s="19" t="s">
        <v>75</v>
      </c>
      <c r="G192" s="59">
        <v>33201000</v>
      </c>
      <c r="H192" s="52"/>
      <c r="I192" s="66"/>
    </row>
    <row r="193" spans="1:9" x14ac:dyDescent="0.25">
      <c r="A193" s="40"/>
      <c r="B193" s="40" t="s">
        <v>307</v>
      </c>
      <c r="C193" s="40">
        <f>COUNTA(C187:C192)</f>
        <v>6</v>
      </c>
      <c r="D193" s="101">
        <f>E193/C193</f>
        <v>0.83333333333333337</v>
      </c>
      <c r="E193" s="105">
        <f>COUNTIF(D187:D192,"*CMAR*")+COUNTIF(D187:D192, "*Design/Build*")+COUNTIF(D187:D192, "*PPEA*")+COUNTIF(D187:D192, "*Competitive Negotiation*")+COUNTIF(D187:D192, "*Sole Source*")+COUNTIF(D187:D192,"*Internal*")+COUNTIF(D187:D192, "*Lease Capital*")</f>
        <v>5</v>
      </c>
      <c r="F193" s="105"/>
      <c r="G193" s="58">
        <f>SUM(G187:G192)</f>
        <v>211993725</v>
      </c>
      <c r="H193" s="58">
        <f>G193-(G188)</f>
        <v>205400892</v>
      </c>
      <c r="I193" s="67">
        <f>H193/G193</f>
        <v>0.96890081062540889</v>
      </c>
    </row>
    <row r="194" spans="1:9" outlineLevel="1" x14ac:dyDescent="0.25">
      <c r="A194" s="19" t="s">
        <v>6</v>
      </c>
      <c r="B194" s="39">
        <v>2016</v>
      </c>
      <c r="C194" s="19" t="s">
        <v>17</v>
      </c>
      <c r="D194" s="19" t="s">
        <v>8</v>
      </c>
      <c r="F194" s="19" t="s">
        <v>9</v>
      </c>
      <c r="G194" s="59">
        <v>43418000</v>
      </c>
      <c r="H194" s="52"/>
      <c r="I194" s="66"/>
    </row>
    <row r="195" spans="1:9" outlineLevel="1" x14ac:dyDescent="0.25">
      <c r="A195" s="19" t="s">
        <v>6</v>
      </c>
      <c r="B195" s="39">
        <v>2016</v>
      </c>
      <c r="C195" s="19" t="s">
        <v>18</v>
      </c>
      <c r="D195" s="19" t="s">
        <v>19</v>
      </c>
      <c r="F195" s="19" t="s">
        <v>11</v>
      </c>
      <c r="G195" s="59">
        <v>5835000</v>
      </c>
      <c r="H195" s="52"/>
      <c r="I195" s="66"/>
    </row>
    <row r="196" spans="1:9" outlineLevel="1" x14ac:dyDescent="0.25">
      <c r="A196" s="21" t="s">
        <v>6</v>
      </c>
      <c r="B196" s="106">
        <v>2016</v>
      </c>
      <c r="C196" s="21" t="s">
        <v>20</v>
      </c>
      <c r="D196" s="21" t="s">
        <v>19</v>
      </c>
      <c r="F196" s="21" t="s">
        <v>21</v>
      </c>
      <c r="G196" s="56">
        <v>9500000</v>
      </c>
      <c r="H196" s="52"/>
      <c r="I196" s="66"/>
    </row>
    <row r="197" spans="1:9" outlineLevel="1" x14ac:dyDescent="0.25">
      <c r="A197" s="21" t="s">
        <v>23</v>
      </c>
      <c r="B197" s="106">
        <v>2016</v>
      </c>
      <c r="C197" s="21" t="s">
        <v>46</v>
      </c>
      <c r="D197" s="21" t="s">
        <v>8</v>
      </c>
      <c r="F197" s="21" t="s">
        <v>11</v>
      </c>
      <c r="G197" s="56">
        <v>54797710</v>
      </c>
      <c r="H197" s="52"/>
      <c r="I197" s="66"/>
    </row>
    <row r="198" spans="1:9" outlineLevel="1" x14ac:dyDescent="0.25">
      <c r="A198" s="21" t="s">
        <v>47</v>
      </c>
      <c r="B198" s="106">
        <v>2016</v>
      </c>
      <c r="C198" s="21" t="s">
        <v>65</v>
      </c>
      <c r="D198" s="21" t="s">
        <v>8</v>
      </c>
      <c r="F198" s="21" t="s">
        <v>9</v>
      </c>
      <c r="G198" s="56">
        <v>19543856</v>
      </c>
      <c r="H198" s="52"/>
      <c r="I198" s="66"/>
    </row>
    <row r="199" spans="1:9" outlineLevel="1" x14ac:dyDescent="0.25">
      <c r="A199" s="21" t="s">
        <v>47</v>
      </c>
      <c r="B199" s="106">
        <v>2016</v>
      </c>
      <c r="C199" s="21" t="s">
        <v>66</v>
      </c>
      <c r="D199" s="21" t="s">
        <v>19</v>
      </c>
      <c r="F199" s="21" t="s">
        <v>67</v>
      </c>
      <c r="G199" s="56">
        <v>5869548</v>
      </c>
      <c r="H199" s="52"/>
      <c r="I199" s="66"/>
    </row>
    <row r="200" spans="1:9" outlineLevel="1" x14ac:dyDescent="0.25">
      <c r="A200" s="21" t="s">
        <v>47</v>
      </c>
      <c r="B200" s="106">
        <v>2016</v>
      </c>
      <c r="C200" s="21" t="s">
        <v>382</v>
      </c>
      <c r="D200" s="21" t="s">
        <v>8</v>
      </c>
      <c r="F200" s="21" t="s">
        <v>52</v>
      </c>
      <c r="G200" s="56">
        <v>57312163</v>
      </c>
      <c r="H200" s="52"/>
      <c r="I200" s="66"/>
    </row>
    <row r="201" spans="1:9" outlineLevel="1" x14ac:dyDescent="0.25">
      <c r="A201" s="21" t="s">
        <v>73</v>
      </c>
      <c r="B201" s="106">
        <v>2016</v>
      </c>
      <c r="C201" s="21" t="s">
        <v>84</v>
      </c>
      <c r="D201" s="21" t="s">
        <v>19</v>
      </c>
      <c r="F201" s="21" t="s">
        <v>85</v>
      </c>
      <c r="G201" s="56">
        <v>6556593</v>
      </c>
      <c r="H201" s="52"/>
      <c r="I201" s="66"/>
    </row>
    <row r="202" spans="1:9" outlineLevel="1" x14ac:dyDescent="0.25">
      <c r="A202" s="21" t="s">
        <v>104</v>
      </c>
      <c r="B202" s="106">
        <v>2016</v>
      </c>
      <c r="C202" s="21" t="s">
        <v>117</v>
      </c>
      <c r="D202" s="21" t="s">
        <v>33</v>
      </c>
      <c r="F202" s="21" t="s">
        <v>112</v>
      </c>
      <c r="G202" s="56">
        <v>5643936</v>
      </c>
      <c r="H202" s="52"/>
      <c r="I202" s="66"/>
    </row>
    <row r="203" spans="1:9" outlineLevel="1" x14ac:dyDescent="0.25">
      <c r="A203" s="21" t="s">
        <v>104</v>
      </c>
      <c r="B203" s="106">
        <v>2016</v>
      </c>
      <c r="C203" s="21" t="s">
        <v>118</v>
      </c>
      <c r="D203" s="21" t="s">
        <v>33</v>
      </c>
      <c r="F203" s="21" t="s">
        <v>112</v>
      </c>
      <c r="G203" s="56">
        <v>6380309</v>
      </c>
      <c r="H203" s="52"/>
      <c r="I203" s="66"/>
    </row>
    <row r="204" spans="1:9" outlineLevel="1" x14ac:dyDescent="0.25">
      <c r="A204" s="21" t="s">
        <v>129</v>
      </c>
      <c r="B204" s="106">
        <v>2016</v>
      </c>
      <c r="C204" s="21" t="s">
        <v>186</v>
      </c>
      <c r="D204" s="21" t="s">
        <v>8</v>
      </c>
      <c r="F204" s="21" t="s">
        <v>143</v>
      </c>
      <c r="G204" s="56">
        <v>70304737</v>
      </c>
      <c r="H204" s="52"/>
      <c r="I204" s="66"/>
    </row>
    <row r="205" spans="1:9" outlineLevel="1" x14ac:dyDescent="0.25">
      <c r="A205" s="21" t="s">
        <v>249</v>
      </c>
      <c r="B205" s="106">
        <v>2016</v>
      </c>
      <c r="C205" s="21" t="s">
        <v>265</v>
      </c>
      <c r="D205" s="21" t="s">
        <v>19</v>
      </c>
      <c r="F205" s="21" t="s">
        <v>266</v>
      </c>
      <c r="G205" s="56">
        <v>13840000</v>
      </c>
      <c r="H205" s="52"/>
      <c r="I205" s="66"/>
    </row>
    <row r="206" spans="1:9" outlineLevel="1" x14ac:dyDescent="0.25">
      <c r="A206" s="21" t="s">
        <v>277</v>
      </c>
      <c r="B206" s="106">
        <v>2016</v>
      </c>
      <c r="C206" s="21" t="s">
        <v>291</v>
      </c>
      <c r="D206" s="21" t="s">
        <v>8</v>
      </c>
      <c r="F206" s="21" t="s">
        <v>9</v>
      </c>
      <c r="G206" s="56">
        <v>19463177</v>
      </c>
      <c r="H206" s="52"/>
      <c r="I206" s="66"/>
    </row>
    <row r="207" spans="1:9" outlineLevel="1" x14ac:dyDescent="0.25">
      <c r="A207" s="21" t="s">
        <v>277</v>
      </c>
      <c r="B207" s="106">
        <v>2016</v>
      </c>
      <c r="C207" s="21" t="s">
        <v>407</v>
      </c>
      <c r="D207" s="21" t="s">
        <v>8</v>
      </c>
      <c r="F207" s="21" t="s">
        <v>11</v>
      </c>
      <c r="G207" s="56">
        <v>15600000</v>
      </c>
      <c r="H207" s="52"/>
      <c r="I207" s="66"/>
    </row>
    <row r="208" spans="1:9" outlineLevel="1" x14ac:dyDescent="0.25">
      <c r="A208" s="19" t="s">
        <v>277</v>
      </c>
      <c r="B208" s="39">
        <v>2016</v>
      </c>
      <c r="C208" s="19" t="s">
        <v>406</v>
      </c>
      <c r="D208" s="19" t="s">
        <v>8</v>
      </c>
      <c r="F208" s="86" t="s">
        <v>141</v>
      </c>
      <c r="G208" s="59">
        <v>30254000</v>
      </c>
      <c r="H208" s="52"/>
      <c r="I208" s="66"/>
    </row>
    <row r="209" spans="1:9" x14ac:dyDescent="0.25">
      <c r="A209" s="40"/>
      <c r="B209" s="40" t="s">
        <v>308</v>
      </c>
      <c r="C209" s="40">
        <f>COUNTA(C194:C208)</f>
        <v>15</v>
      </c>
      <c r="D209" s="101">
        <f>E209/C209</f>
        <v>0.66666666666666663</v>
      </c>
      <c r="E209" s="105">
        <f>COUNTIF(D194:D208,"*CMAR*")+COUNTIF(D194:D208, "*Design/Build*")+COUNTIF(D194:D208, "*PPEA*")+COUNTIF(D194:D208, "*Competitive Negotiation*")+COUNTIF(D194:D208, "*Sole Source*")+COUNTIF(D194:D208,"*Internal*")+COUNTIF(D194:D208, "*Lease Capital*")</f>
        <v>10</v>
      </c>
      <c r="F209" s="105"/>
      <c r="G209" s="58">
        <f>SUM(G194:G208)</f>
        <v>364319029</v>
      </c>
      <c r="H209" s="58">
        <f>G209-(G199+G205+G195+G196+G201)</f>
        <v>322717888</v>
      </c>
      <c r="I209" s="67">
        <f>H209/G209</f>
        <v>0.88581123222086766</v>
      </c>
    </row>
    <row r="210" spans="1:9" outlineLevel="1" x14ac:dyDescent="0.25">
      <c r="A210" s="21" t="s">
        <v>6</v>
      </c>
      <c r="B210" s="106">
        <v>2017</v>
      </c>
      <c r="C210" s="21" t="s">
        <v>22</v>
      </c>
      <c r="D210" s="21" t="s">
        <v>8</v>
      </c>
      <c r="F210" s="21" t="s">
        <v>11</v>
      </c>
      <c r="G210" s="56">
        <v>50464532</v>
      </c>
      <c r="H210" s="52"/>
      <c r="I210" s="66"/>
    </row>
    <row r="211" spans="1:9" outlineLevel="1" x14ac:dyDescent="0.25">
      <c r="A211" s="19" t="s">
        <v>47</v>
      </c>
      <c r="B211" s="39">
        <v>2017</v>
      </c>
      <c r="C211" s="19" t="s">
        <v>383</v>
      </c>
      <c r="D211" s="19" t="s">
        <v>8</v>
      </c>
      <c r="F211" s="19" t="s">
        <v>69</v>
      </c>
      <c r="G211" s="59">
        <v>99000000</v>
      </c>
      <c r="H211" s="52"/>
      <c r="I211" s="66"/>
    </row>
    <row r="212" spans="1:9" outlineLevel="1" x14ac:dyDescent="0.25">
      <c r="A212" s="19" t="s">
        <v>47</v>
      </c>
      <c r="B212" s="39">
        <v>2017</v>
      </c>
      <c r="C212" s="19" t="s">
        <v>70</v>
      </c>
      <c r="D212" s="19" t="s">
        <v>8</v>
      </c>
      <c r="F212" s="19" t="s">
        <v>9</v>
      </c>
      <c r="G212" s="59">
        <v>26228125</v>
      </c>
      <c r="H212" s="52"/>
      <c r="I212" s="66"/>
    </row>
    <row r="213" spans="1:9" outlineLevel="1" x14ac:dyDescent="0.25">
      <c r="A213" s="19" t="s">
        <v>47</v>
      </c>
      <c r="B213" s="39">
        <v>2017</v>
      </c>
      <c r="C213" s="19" t="s">
        <v>71</v>
      </c>
      <c r="D213" s="19" t="s">
        <v>8</v>
      </c>
      <c r="F213" s="19" t="s">
        <v>58</v>
      </c>
      <c r="G213" s="59">
        <v>72835614</v>
      </c>
      <c r="H213" s="52"/>
      <c r="I213" s="66"/>
    </row>
    <row r="214" spans="1:9" outlineLevel="1" x14ac:dyDescent="0.25">
      <c r="A214" s="21" t="s">
        <v>47</v>
      </c>
      <c r="B214" s="106">
        <v>2017</v>
      </c>
      <c r="C214" s="21" t="s">
        <v>72</v>
      </c>
      <c r="D214" s="21" t="s">
        <v>8</v>
      </c>
      <c r="F214" s="21" t="s">
        <v>61</v>
      </c>
      <c r="G214" s="56">
        <v>20409000</v>
      </c>
      <c r="H214" s="52"/>
      <c r="I214" s="66"/>
    </row>
    <row r="215" spans="1:9" outlineLevel="1" x14ac:dyDescent="0.25">
      <c r="A215" s="21" t="s">
        <v>47</v>
      </c>
      <c r="B215" s="106">
        <v>2017</v>
      </c>
      <c r="C215" s="21" t="s">
        <v>393</v>
      </c>
      <c r="D215" s="21" t="s">
        <v>8</v>
      </c>
      <c r="F215" s="86" t="s">
        <v>9</v>
      </c>
      <c r="G215" s="56">
        <v>49740352</v>
      </c>
      <c r="H215" s="52"/>
      <c r="I215" s="66"/>
    </row>
    <row r="216" spans="1:9" outlineLevel="1" x14ac:dyDescent="0.25">
      <c r="A216" s="21" t="s">
        <v>73</v>
      </c>
      <c r="B216" s="106">
        <v>2017</v>
      </c>
      <c r="C216" s="21" t="s">
        <v>87</v>
      </c>
      <c r="D216" s="21" t="s">
        <v>19</v>
      </c>
      <c r="F216" s="21" t="s">
        <v>88</v>
      </c>
      <c r="G216" s="56">
        <v>5192800</v>
      </c>
      <c r="H216" s="52"/>
      <c r="I216" s="66"/>
    </row>
    <row r="217" spans="1:9" outlineLevel="1" x14ac:dyDescent="0.25">
      <c r="A217" s="21" t="s">
        <v>129</v>
      </c>
      <c r="B217" s="106">
        <v>2017</v>
      </c>
      <c r="C217" s="21" t="s">
        <v>187</v>
      </c>
      <c r="D217" s="21" t="s">
        <v>8</v>
      </c>
      <c r="F217" s="21" t="s">
        <v>146</v>
      </c>
      <c r="G217" s="56">
        <v>10394947</v>
      </c>
      <c r="H217" s="52"/>
      <c r="I217" s="66"/>
    </row>
    <row r="218" spans="1:9" outlineLevel="1" x14ac:dyDescent="0.25">
      <c r="A218" s="21" t="s">
        <v>129</v>
      </c>
      <c r="B218" s="106">
        <v>2017</v>
      </c>
      <c r="C218" s="21" t="s">
        <v>188</v>
      </c>
      <c r="D218" s="21" t="s">
        <v>8</v>
      </c>
      <c r="F218" s="21" t="s">
        <v>11</v>
      </c>
      <c r="G218" s="56">
        <v>43051269</v>
      </c>
      <c r="H218" s="52"/>
      <c r="I218" s="66"/>
    </row>
    <row r="219" spans="1:9" outlineLevel="1" x14ac:dyDescent="0.25">
      <c r="A219" s="21" t="s">
        <v>129</v>
      </c>
      <c r="B219" s="106">
        <v>2017</v>
      </c>
      <c r="C219" s="21" t="s">
        <v>427</v>
      </c>
      <c r="D219" s="21" t="s">
        <v>8</v>
      </c>
      <c r="F219" s="21" t="s">
        <v>428</v>
      </c>
      <c r="G219" s="22">
        <v>6042602</v>
      </c>
      <c r="H219" s="52"/>
      <c r="I219" s="66"/>
    </row>
    <row r="220" spans="1:9" outlineLevel="1" x14ac:dyDescent="0.25">
      <c r="A220" s="21" t="s">
        <v>129</v>
      </c>
      <c r="B220" s="106">
        <v>2017</v>
      </c>
      <c r="C220" s="21" t="s">
        <v>429</v>
      </c>
      <c r="D220" s="21" t="s">
        <v>33</v>
      </c>
      <c r="F220" s="21" t="s">
        <v>430</v>
      </c>
      <c r="G220" s="22">
        <v>6518658</v>
      </c>
      <c r="H220" s="52"/>
      <c r="I220" s="66"/>
    </row>
    <row r="221" spans="1:9" outlineLevel="1" x14ac:dyDescent="0.25">
      <c r="A221" s="21" t="s">
        <v>129</v>
      </c>
      <c r="B221" s="106">
        <v>2017</v>
      </c>
      <c r="C221" s="21" t="s">
        <v>431</v>
      </c>
      <c r="D221" s="21" t="s">
        <v>8</v>
      </c>
      <c r="F221" s="21" t="s">
        <v>432</v>
      </c>
      <c r="G221" s="22">
        <v>7285505</v>
      </c>
      <c r="H221" s="52"/>
      <c r="I221" s="66"/>
    </row>
    <row r="222" spans="1:9" outlineLevel="1" x14ac:dyDescent="0.25">
      <c r="A222" s="21" t="s">
        <v>191</v>
      </c>
      <c r="B222" s="106">
        <v>2017</v>
      </c>
      <c r="C222" s="21" t="s">
        <v>223</v>
      </c>
      <c r="D222" s="21" t="s">
        <v>8</v>
      </c>
      <c r="F222" s="21" t="s">
        <v>75</v>
      </c>
      <c r="G222" s="56">
        <v>25605000</v>
      </c>
      <c r="H222" s="52"/>
      <c r="I222" s="66"/>
    </row>
    <row r="223" spans="1:9" outlineLevel="1" x14ac:dyDescent="0.25">
      <c r="A223" s="21" t="s">
        <v>191</v>
      </c>
      <c r="B223" s="106">
        <v>2017</v>
      </c>
      <c r="C223" s="21" t="s">
        <v>224</v>
      </c>
      <c r="D223" s="21" t="s">
        <v>33</v>
      </c>
      <c r="F223" s="21" t="s">
        <v>11</v>
      </c>
      <c r="G223" s="56">
        <v>14329153</v>
      </c>
      <c r="H223" s="52"/>
      <c r="I223" s="66"/>
    </row>
    <row r="224" spans="1:9" outlineLevel="1" x14ac:dyDescent="0.25">
      <c r="A224" s="21" t="s">
        <v>191</v>
      </c>
      <c r="B224" s="106">
        <v>2017</v>
      </c>
      <c r="C224" s="21" t="s">
        <v>225</v>
      </c>
      <c r="D224" s="21" t="s">
        <v>8</v>
      </c>
      <c r="F224" s="21" t="s">
        <v>75</v>
      </c>
      <c r="G224" s="56">
        <v>14144099</v>
      </c>
      <c r="H224" s="52"/>
      <c r="I224" s="66"/>
    </row>
    <row r="225" spans="1:9" outlineLevel="1" x14ac:dyDescent="0.25">
      <c r="A225" s="21" t="s">
        <v>191</v>
      </c>
      <c r="B225" s="106">
        <v>2017</v>
      </c>
      <c r="C225" s="21" t="s">
        <v>226</v>
      </c>
      <c r="D225" s="21" t="s">
        <v>8</v>
      </c>
      <c r="F225" s="21" t="s">
        <v>9</v>
      </c>
      <c r="G225" s="56">
        <v>15968301</v>
      </c>
      <c r="H225" s="52"/>
      <c r="I225" s="66"/>
    </row>
    <row r="226" spans="1:9" outlineLevel="1" x14ac:dyDescent="0.25">
      <c r="A226" s="21" t="s">
        <v>249</v>
      </c>
      <c r="B226" s="106">
        <v>2017</v>
      </c>
      <c r="C226" s="21" t="s">
        <v>268</v>
      </c>
      <c r="D226" s="21" t="s">
        <v>8</v>
      </c>
      <c r="F226" s="21" t="s">
        <v>58</v>
      </c>
      <c r="G226" s="56">
        <v>61500000</v>
      </c>
      <c r="H226" s="52"/>
      <c r="I226" s="66"/>
    </row>
    <row r="227" spans="1:9" outlineLevel="1" x14ac:dyDescent="0.25">
      <c r="A227" s="21" t="s">
        <v>249</v>
      </c>
      <c r="B227" s="106">
        <v>2017</v>
      </c>
      <c r="C227" s="21" t="s">
        <v>416</v>
      </c>
      <c r="D227" s="21" t="s">
        <v>8</v>
      </c>
      <c r="F227" s="86" t="s">
        <v>58</v>
      </c>
      <c r="G227" s="56">
        <v>5340786</v>
      </c>
      <c r="H227" s="52"/>
      <c r="I227" s="66"/>
    </row>
    <row r="228" spans="1:9" outlineLevel="1" x14ac:dyDescent="0.25">
      <c r="A228" s="21" t="s">
        <v>227</v>
      </c>
      <c r="B228" s="106">
        <v>2017</v>
      </c>
      <c r="C228" s="21" t="s">
        <v>385</v>
      </c>
      <c r="D228" s="21" t="s">
        <v>8</v>
      </c>
      <c r="F228" s="86" t="s">
        <v>58</v>
      </c>
      <c r="G228" s="56">
        <v>15394218</v>
      </c>
      <c r="H228" s="52"/>
      <c r="I228" s="66"/>
    </row>
    <row r="229" spans="1:9" outlineLevel="1" x14ac:dyDescent="0.25">
      <c r="A229" s="21" t="s">
        <v>227</v>
      </c>
      <c r="B229" s="106">
        <v>2017</v>
      </c>
      <c r="C229" s="21" t="s">
        <v>391</v>
      </c>
      <c r="D229" s="21" t="s">
        <v>19</v>
      </c>
      <c r="F229" s="86" t="s">
        <v>392</v>
      </c>
      <c r="G229" s="56">
        <v>14713173</v>
      </c>
      <c r="H229" s="52"/>
      <c r="I229" s="66"/>
    </row>
    <row r="230" spans="1:9" outlineLevel="1" x14ac:dyDescent="0.25">
      <c r="A230" s="21" t="s">
        <v>227</v>
      </c>
      <c r="B230" s="106">
        <v>2017</v>
      </c>
      <c r="C230" s="21" t="s">
        <v>228</v>
      </c>
      <c r="D230" s="21" t="s">
        <v>8</v>
      </c>
      <c r="F230" s="21" t="s">
        <v>229</v>
      </c>
      <c r="G230" s="56">
        <v>13150000</v>
      </c>
      <c r="H230" s="52"/>
      <c r="I230" s="66"/>
    </row>
    <row r="231" spans="1:9" outlineLevel="1" x14ac:dyDescent="0.25">
      <c r="A231" s="21" t="s">
        <v>227</v>
      </c>
      <c r="B231" s="106">
        <v>2017</v>
      </c>
      <c r="C231" s="21" t="s">
        <v>230</v>
      </c>
      <c r="D231" s="21" t="s">
        <v>8</v>
      </c>
      <c r="F231" s="86" t="s">
        <v>49</v>
      </c>
      <c r="G231" s="56">
        <v>26416758</v>
      </c>
      <c r="H231" s="52"/>
      <c r="I231" s="66"/>
    </row>
    <row r="232" spans="1:9" outlineLevel="1" x14ac:dyDescent="0.25">
      <c r="A232" s="21" t="s">
        <v>227</v>
      </c>
      <c r="B232" s="106">
        <v>2017</v>
      </c>
      <c r="C232" s="21" t="s">
        <v>231</v>
      </c>
      <c r="D232" s="21" t="s">
        <v>8</v>
      </c>
      <c r="F232" s="86" t="s">
        <v>58</v>
      </c>
      <c r="G232" s="56">
        <v>20613000</v>
      </c>
      <c r="H232" s="52"/>
      <c r="I232" s="66"/>
    </row>
    <row r="233" spans="1:9" outlineLevel="1" x14ac:dyDescent="0.25">
      <c r="A233" s="21" t="s">
        <v>269</v>
      </c>
      <c r="B233" s="106">
        <v>2017</v>
      </c>
      <c r="C233" s="21" t="s">
        <v>276</v>
      </c>
      <c r="D233" s="21" t="s">
        <v>8</v>
      </c>
      <c r="F233" s="21" t="s">
        <v>11</v>
      </c>
      <c r="G233" s="56">
        <v>43275000</v>
      </c>
      <c r="H233" s="52"/>
      <c r="I233" s="66"/>
    </row>
    <row r="234" spans="1:9" outlineLevel="1" x14ac:dyDescent="0.25">
      <c r="A234" s="21" t="s">
        <v>277</v>
      </c>
      <c r="B234" s="106">
        <v>2017</v>
      </c>
      <c r="C234" s="21" t="s">
        <v>292</v>
      </c>
      <c r="D234" s="21" t="s">
        <v>8</v>
      </c>
      <c r="E234" s="17"/>
      <c r="F234" s="21" t="s">
        <v>178</v>
      </c>
      <c r="G234" s="56">
        <v>118503000</v>
      </c>
      <c r="H234" s="52"/>
      <c r="I234" s="66"/>
    </row>
    <row r="235" spans="1:9" outlineLevel="1" x14ac:dyDescent="0.25">
      <c r="A235" s="21" t="s">
        <v>277</v>
      </c>
      <c r="B235" s="106">
        <v>2017</v>
      </c>
      <c r="C235" s="21" t="s">
        <v>293</v>
      </c>
      <c r="D235" s="21" t="s">
        <v>8</v>
      </c>
      <c r="E235" s="17"/>
      <c r="F235" s="21" t="s">
        <v>58</v>
      </c>
      <c r="G235" s="56">
        <v>22613000</v>
      </c>
      <c r="H235" s="52"/>
      <c r="I235" s="66"/>
    </row>
    <row r="236" spans="1:9" outlineLevel="1" x14ac:dyDescent="0.25">
      <c r="A236" s="21" t="s">
        <v>119</v>
      </c>
      <c r="B236" s="106">
        <v>2017</v>
      </c>
      <c r="C236" s="21" t="s">
        <v>397</v>
      </c>
      <c r="D236" s="21" t="s">
        <v>8</v>
      </c>
      <c r="E236" s="17"/>
      <c r="F236" s="86" t="s">
        <v>49</v>
      </c>
      <c r="G236" s="56">
        <v>24280680</v>
      </c>
      <c r="H236" s="52"/>
      <c r="I236" s="66"/>
    </row>
    <row r="237" spans="1:9" outlineLevel="1" x14ac:dyDescent="0.25">
      <c r="A237" s="21" t="s">
        <v>94</v>
      </c>
      <c r="B237" s="106">
        <v>2017</v>
      </c>
      <c r="C237" s="21" t="s">
        <v>415</v>
      </c>
      <c r="D237" s="21" t="s">
        <v>8</v>
      </c>
      <c r="F237" s="21" t="s">
        <v>9</v>
      </c>
      <c r="G237" s="22">
        <v>47788191</v>
      </c>
      <c r="H237" s="52"/>
      <c r="I237" s="66"/>
    </row>
    <row r="238" spans="1:9" outlineLevel="1" x14ac:dyDescent="0.25">
      <c r="A238" s="21" t="s">
        <v>94</v>
      </c>
      <c r="B238" s="106">
        <v>2017</v>
      </c>
      <c r="C238" s="21" t="s">
        <v>413</v>
      </c>
      <c r="D238" s="21" t="s">
        <v>8</v>
      </c>
      <c r="F238" s="21" t="s">
        <v>9</v>
      </c>
      <c r="G238" s="22">
        <v>60236552</v>
      </c>
      <c r="H238" s="52"/>
      <c r="I238" s="66"/>
    </row>
    <row r="239" spans="1:9" outlineLevel="1" x14ac:dyDescent="0.25">
      <c r="A239" s="21" t="s">
        <v>94</v>
      </c>
      <c r="B239" s="106">
        <v>2017</v>
      </c>
      <c r="C239" s="21" t="s">
        <v>414</v>
      </c>
      <c r="D239" s="21" t="s">
        <v>8</v>
      </c>
      <c r="F239" s="21" t="s">
        <v>69</v>
      </c>
      <c r="G239" s="22">
        <v>59609247</v>
      </c>
      <c r="H239" s="52"/>
      <c r="I239" s="66"/>
    </row>
    <row r="240" spans="1:9" x14ac:dyDescent="0.25">
      <c r="A240" s="40"/>
      <c r="B240" s="40" t="s">
        <v>309</v>
      </c>
      <c r="C240" s="40">
        <f>COUNTA(C210:C239)</f>
        <v>30</v>
      </c>
      <c r="D240" s="101">
        <f>E240/C240</f>
        <v>0.93333333333333335</v>
      </c>
      <c r="E240" s="105">
        <f>COUNTIF(D210:D239,"*CMAR*")+COUNTIF(D210:D239, "*Design/Build*")+COUNTIF(D210:D239, "*PPEA*")+COUNTIF(D210:D239, "*Competitive Negotiation*")+COUNTIF(D210:D239, "*Sole Source*")+COUNTIF(D210:D239,"*Internal*")+COUNTIF(D210:D239, "*Lease Capital*")</f>
        <v>28</v>
      </c>
      <c r="F240" s="105"/>
      <c r="G240" s="58">
        <f>SUM(G210:G239)</f>
        <v>1000643562</v>
      </c>
      <c r="H240" s="58">
        <f>G240-(G216+G229)</f>
        <v>980737589</v>
      </c>
      <c r="I240" s="67">
        <f>H240/G240</f>
        <v>0.98010682948860062</v>
      </c>
    </row>
    <row r="241" spans="1:9" outlineLevel="1" x14ac:dyDescent="0.25">
      <c r="A241" s="142" t="s">
        <v>269</v>
      </c>
      <c r="B241" s="138">
        <v>2018</v>
      </c>
      <c r="C241" s="142" t="s">
        <v>363</v>
      </c>
      <c r="D241" s="141" t="s">
        <v>8</v>
      </c>
      <c r="E241" s="143"/>
      <c r="F241" s="143" t="s">
        <v>11</v>
      </c>
      <c r="G241" s="139">
        <v>44188000</v>
      </c>
      <c r="H241" s="139"/>
      <c r="I241" s="140"/>
    </row>
    <row r="242" spans="1:9" outlineLevel="1" x14ac:dyDescent="0.25">
      <c r="A242" s="142" t="s">
        <v>104</v>
      </c>
      <c r="B242" s="138">
        <v>2018</v>
      </c>
      <c r="C242" t="s">
        <v>371</v>
      </c>
      <c r="D242" s="141" t="s">
        <v>8</v>
      </c>
      <c r="E242" s="143"/>
      <c r="F242" s="143" t="s">
        <v>75</v>
      </c>
      <c r="G242" s="139">
        <v>22708530</v>
      </c>
      <c r="H242" s="139"/>
      <c r="I242" s="140"/>
    </row>
    <row r="243" spans="1:9" outlineLevel="1" x14ac:dyDescent="0.25">
      <c r="A243" s="19" t="s">
        <v>23</v>
      </c>
      <c r="B243" s="39">
        <v>2018</v>
      </c>
      <c r="C243" s="19" t="s">
        <v>378</v>
      </c>
      <c r="D243" s="19" t="s">
        <v>8</v>
      </c>
      <c r="F243" s="19" t="s">
        <v>11</v>
      </c>
      <c r="G243" s="20">
        <v>45552547</v>
      </c>
      <c r="H243" s="139"/>
      <c r="I243" s="140"/>
    </row>
    <row r="244" spans="1:9" outlineLevel="1" x14ac:dyDescent="0.25">
      <c r="A244" s="19" t="s">
        <v>189</v>
      </c>
      <c r="B244" s="39">
        <v>2018</v>
      </c>
      <c r="C244" s="21" t="s">
        <v>384</v>
      </c>
      <c r="D244" s="19" t="s">
        <v>8</v>
      </c>
      <c r="F244" s="171" t="s">
        <v>75</v>
      </c>
      <c r="G244" s="20">
        <v>7336670</v>
      </c>
      <c r="H244" s="139"/>
      <c r="I244" s="140"/>
    </row>
    <row r="245" spans="1:9" outlineLevel="1" x14ac:dyDescent="0.25">
      <c r="A245" t="s">
        <v>227</v>
      </c>
      <c r="B245" s="8">
        <v>2018</v>
      </c>
      <c r="C245" t="s">
        <v>386</v>
      </c>
      <c r="D245" t="s">
        <v>19</v>
      </c>
      <c r="F245" t="s">
        <v>239</v>
      </c>
      <c r="G245" s="1">
        <v>18702000</v>
      </c>
      <c r="H245" s="139"/>
      <c r="I245" s="140"/>
    </row>
    <row r="246" spans="1:9" outlineLevel="1" x14ac:dyDescent="0.25">
      <c r="A246" s="19" t="s">
        <v>227</v>
      </c>
      <c r="B246" s="39">
        <v>2018</v>
      </c>
      <c r="C246" s="19" t="s">
        <v>387</v>
      </c>
      <c r="D246" s="19" t="s">
        <v>19</v>
      </c>
      <c r="F246" s="19" t="s">
        <v>388</v>
      </c>
      <c r="G246" s="20">
        <v>12136212</v>
      </c>
      <c r="H246" s="139"/>
      <c r="I246" s="140"/>
    </row>
    <row r="247" spans="1:9" outlineLevel="1" x14ac:dyDescent="0.25">
      <c r="A247" s="21" t="s">
        <v>227</v>
      </c>
      <c r="B247" s="106">
        <v>2018</v>
      </c>
      <c r="C247" s="21" t="s">
        <v>390</v>
      </c>
      <c r="D247" s="21" t="s">
        <v>8</v>
      </c>
      <c r="F247" s="21" t="s">
        <v>75</v>
      </c>
      <c r="G247" s="22">
        <v>23058000</v>
      </c>
      <c r="H247" s="139"/>
      <c r="I247" s="140"/>
    </row>
    <row r="248" spans="1:9" outlineLevel="1" x14ac:dyDescent="0.25">
      <c r="A248" s="21" t="s">
        <v>47</v>
      </c>
      <c r="B248" s="106">
        <v>2018</v>
      </c>
      <c r="C248" s="21" t="s">
        <v>394</v>
      </c>
      <c r="D248" s="21" t="s">
        <v>33</v>
      </c>
      <c r="F248" s="86" t="s">
        <v>75</v>
      </c>
      <c r="G248" s="22">
        <v>12075000</v>
      </c>
      <c r="H248" s="139"/>
      <c r="I248" s="140"/>
    </row>
    <row r="249" spans="1:9" outlineLevel="1" x14ac:dyDescent="0.25">
      <c r="A249" s="21" t="s">
        <v>47</v>
      </c>
      <c r="B249" s="106">
        <v>2018</v>
      </c>
      <c r="C249" s="21" t="s">
        <v>395</v>
      </c>
      <c r="D249" s="21" t="s">
        <v>19</v>
      </c>
      <c r="F249" s="86" t="s">
        <v>61</v>
      </c>
      <c r="G249" s="22">
        <v>6164000</v>
      </c>
      <c r="H249" s="139"/>
      <c r="I249" s="140"/>
    </row>
    <row r="250" spans="1:9" outlineLevel="1" x14ac:dyDescent="0.25">
      <c r="A250" s="21" t="s">
        <v>47</v>
      </c>
      <c r="B250" s="106">
        <v>2018</v>
      </c>
      <c r="C250" s="21" t="s">
        <v>396</v>
      </c>
      <c r="D250" s="21" t="s">
        <v>8</v>
      </c>
      <c r="F250" s="19" t="s">
        <v>69</v>
      </c>
      <c r="G250" s="22">
        <v>36010447</v>
      </c>
      <c r="H250" s="139"/>
      <c r="I250" s="140"/>
    </row>
    <row r="251" spans="1:9" outlineLevel="1" x14ac:dyDescent="0.25">
      <c r="A251" s="21" t="s">
        <v>277</v>
      </c>
      <c r="B251" s="106">
        <v>2018</v>
      </c>
      <c r="C251" s="21" t="s">
        <v>403</v>
      </c>
      <c r="D251" s="21" t="s">
        <v>8</v>
      </c>
      <c r="F251" s="171" t="s">
        <v>178</v>
      </c>
      <c r="G251" s="22">
        <v>5821504</v>
      </c>
      <c r="H251" s="139"/>
      <c r="I251" s="140"/>
    </row>
    <row r="252" spans="1:9" outlineLevel="1" x14ac:dyDescent="0.25">
      <c r="A252" s="21" t="s">
        <v>73</v>
      </c>
      <c r="B252" s="106">
        <v>2018</v>
      </c>
      <c r="C252" s="21" t="s">
        <v>422</v>
      </c>
      <c r="D252" s="21" t="s">
        <v>19</v>
      </c>
      <c r="F252" s="171" t="s">
        <v>424</v>
      </c>
      <c r="G252" s="22">
        <v>7858846</v>
      </c>
      <c r="H252" s="139"/>
      <c r="I252" s="140"/>
    </row>
    <row r="253" spans="1:9" outlineLevel="1" x14ac:dyDescent="0.25">
      <c r="A253" s="21" t="s">
        <v>73</v>
      </c>
      <c r="B253" s="106">
        <v>2018</v>
      </c>
      <c r="C253" s="21" t="s">
        <v>423</v>
      </c>
      <c r="D253" s="21" t="s">
        <v>19</v>
      </c>
      <c r="F253" s="171" t="s">
        <v>424</v>
      </c>
      <c r="G253" s="22">
        <v>16279217</v>
      </c>
      <c r="H253" s="139"/>
      <c r="I253" s="140"/>
    </row>
    <row r="254" spans="1:9" outlineLevel="1" x14ac:dyDescent="0.25">
      <c r="A254" s="21" t="s">
        <v>129</v>
      </c>
      <c r="B254" s="106">
        <v>2018</v>
      </c>
      <c r="C254" s="21" t="s">
        <v>433</v>
      </c>
      <c r="D254" s="21" t="s">
        <v>8</v>
      </c>
      <c r="F254" s="21" t="s">
        <v>58</v>
      </c>
      <c r="G254" s="22">
        <v>10513253</v>
      </c>
      <c r="H254" s="139"/>
      <c r="I254" s="140"/>
    </row>
    <row r="255" spans="1:9" outlineLevel="1" x14ac:dyDescent="0.25">
      <c r="A255" s="21" t="s">
        <v>129</v>
      </c>
      <c r="B255" s="106">
        <v>2018</v>
      </c>
      <c r="C255" s="21" t="s">
        <v>434</v>
      </c>
      <c r="D255" s="21" t="s">
        <v>8</v>
      </c>
      <c r="F255" s="21" t="s">
        <v>424</v>
      </c>
      <c r="G255" s="22">
        <v>19654061</v>
      </c>
      <c r="H255" s="139"/>
      <c r="I255" s="140"/>
    </row>
    <row r="256" spans="1:9" x14ac:dyDescent="0.25">
      <c r="A256" s="40"/>
      <c r="B256" s="40" t="s">
        <v>370</v>
      </c>
      <c r="C256" s="40">
        <f>COUNTA(C241:C255)</f>
        <v>15</v>
      </c>
      <c r="D256" s="101">
        <f>E256/C256</f>
        <v>0.66666666666666663</v>
      </c>
      <c r="E256" s="105">
        <f>COUNTIF(D241:D255,"*CMAR*")+COUNTIF(D241:D255, "*Design/Build*")+COUNTIF(D241:D255, "*PPEA*")+COUNTIF(D241:D255, "*Competitive Negotiation*")+COUNTIF(D241:D255, "*Sole Source*")+COUNTIF(D241:D255,"*Internal*")+COUNTIF(D241:D255, "*Lease Capital*")</f>
        <v>10</v>
      </c>
      <c r="F256" s="105"/>
      <c r="G256" s="58">
        <f>SUM(G241:G255)</f>
        <v>288058287</v>
      </c>
      <c r="H256" s="58">
        <f>G256-(G245+G246+G249+G252+G253)</f>
        <v>226918012</v>
      </c>
      <c r="I256" s="67">
        <f>H256/G256</f>
        <v>0.78775033470916944</v>
      </c>
    </row>
    <row r="257" spans="1:9" outlineLevel="1" x14ac:dyDescent="0.25">
      <c r="A257" s="19" t="s">
        <v>23</v>
      </c>
      <c r="B257" s="39">
        <v>2019</v>
      </c>
      <c r="C257" s="19" t="s">
        <v>377</v>
      </c>
      <c r="D257" s="19" t="s">
        <v>8</v>
      </c>
      <c r="F257" s="19" t="s">
        <v>380</v>
      </c>
      <c r="G257" s="20">
        <v>11729047</v>
      </c>
      <c r="H257" s="139"/>
      <c r="I257" s="140"/>
    </row>
    <row r="258" spans="1:9" outlineLevel="1" x14ac:dyDescent="0.25">
      <c r="A258" s="21" t="s">
        <v>119</v>
      </c>
      <c r="B258" s="39">
        <v>2019</v>
      </c>
      <c r="C258" s="21" t="s">
        <v>398</v>
      </c>
      <c r="D258" s="21" t="s">
        <v>8</v>
      </c>
      <c r="F258" s="86" t="s">
        <v>58</v>
      </c>
      <c r="G258" s="20">
        <v>19311522</v>
      </c>
      <c r="H258" s="139"/>
      <c r="I258" s="140"/>
    </row>
    <row r="259" spans="1:9" outlineLevel="1" x14ac:dyDescent="0.25">
      <c r="A259" s="21" t="s">
        <v>277</v>
      </c>
      <c r="B259" s="39">
        <v>2019</v>
      </c>
      <c r="C259" s="21" t="s">
        <v>408</v>
      </c>
      <c r="D259" s="21" t="s">
        <v>8</v>
      </c>
      <c r="F259" s="86" t="s">
        <v>58</v>
      </c>
      <c r="G259" s="20">
        <v>15775385</v>
      </c>
      <c r="H259" s="139"/>
      <c r="I259" s="140"/>
    </row>
    <row r="260" spans="1:9" outlineLevel="1" x14ac:dyDescent="0.25">
      <c r="A260" s="21" t="s">
        <v>249</v>
      </c>
      <c r="B260" s="39">
        <v>2019</v>
      </c>
      <c r="C260" s="21" t="s">
        <v>417</v>
      </c>
      <c r="D260" s="21" t="s">
        <v>19</v>
      </c>
      <c r="F260" s="86" t="s">
        <v>266</v>
      </c>
      <c r="G260" s="20">
        <v>5699751</v>
      </c>
      <c r="H260" s="139"/>
      <c r="I260" s="140"/>
    </row>
    <row r="261" spans="1:9" outlineLevel="1" x14ac:dyDescent="0.25">
      <c r="A261" s="21" t="s">
        <v>249</v>
      </c>
      <c r="B261" s="39">
        <v>2019</v>
      </c>
      <c r="C261" s="21" t="s">
        <v>419</v>
      </c>
      <c r="D261" s="21" t="s">
        <v>19</v>
      </c>
      <c r="F261" s="86" t="s">
        <v>420</v>
      </c>
      <c r="G261" s="20">
        <v>5550474</v>
      </c>
      <c r="H261" s="139"/>
      <c r="I261" s="140"/>
    </row>
    <row r="262" spans="1:9" outlineLevel="1" x14ac:dyDescent="0.25">
      <c r="A262" s="21" t="s">
        <v>129</v>
      </c>
      <c r="B262" s="106">
        <v>2019</v>
      </c>
      <c r="C262" s="21" t="s">
        <v>435</v>
      </c>
      <c r="D262" s="21" t="s">
        <v>19</v>
      </c>
      <c r="F262" s="21" t="s">
        <v>143</v>
      </c>
      <c r="G262" s="22">
        <v>11871111</v>
      </c>
      <c r="H262" s="139"/>
      <c r="I262" s="140"/>
    </row>
    <row r="263" spans="1:9" outlineLevel="1" x14ac:dyDescent="0.25">
      <c r="A263" s="21" t="s">
        <v>129</v>
      </c>
      <c r="B263" s="106">
        <v>2019</v>
      </c>
      <c r="C263" s="21" t="s">
        <v>436</v>
      </c>
      <c r="D263" s="21" t="s">
        <v>19</v>
      </c>
      <c r="F263" s="21" t="s">
        <v>445</v>
      </c>
      <c r="G263" s="22">
        <v>5489874</v>
      </c>
      <c r="H263" s="139"/>
      <c r="I263" s="140"/>
    </row>
    <row r="264" spans="1:9" x14ac:dyDescent="0.25">
      <c r="A264" s="40"/>
      <c r="B264" s="40" t="s">
        <v>373</v>
      </c>
      <c r="C264" s="40">
        <f>COUNTA(C257:C263)</f>
        <v>7</v>
      </c>
      <c r="D264" s="101">
        <f>E264/C264</f>
        <v>0.42857142857142855</v>
      </c>
      <c r="E264" s="105">
        <f>COUNTIF(D257:D263,"*CMAR*")+COUNTIF(D256:D263, "*Design/Build*")+COUNTIF(D257:D263, "*PPEA*")+COUNTIF(D257:D263, "*Competitive Negotiation*")+COUNTIF(D257:D263, "*Sole Source*")+COUNTIF(D257:D263,"*Internal*")+COUNTIF(D257:D263, "*Lease Capital*")</f>
        <v>3</v>
      </c>
      <c r="F264" s="105"/>
      <c r="G264" s="58">
        <f>SUM(G257:G263)</f>
        <v>75427164</v>
      </c>
      <c r="H264" s="58">
        <f>G264-(G260+G261+G262+G263)</f>
        <v>46815954</v>
      </c>
      <c r="I264" s="67">
        <f>H264/G264</f>
        <v>0.62067763809865639</v>
      </c>
    </row>
    <row r="265" spans="1:9" outlineLevel="1" x14ac:dyDescent="0.25">
      <c r="A265" s="142" t="s">
        <v>119</v>
      </c>
      <c r="B265" s="138">
        <v>2020</v>
      </c>
      <c r="C265" s="142" t="s">
        <v>399</v>
      </c>
      <c r="D265" s="141" t="s">
        <v>8</v>
      </c>
      <c r="E265" s="150"/>
      <c r="F265" s="143" t="s">
        <v>11</v>
      </c>
      <c r="G265" s="139">
        <v>23201260</v>
      </c>
      <c r="H265" s="139"/>
      <c r="I265" s="140"/>
    </row>
    <row r="266" spans="1:9" outlineLevel="1" x14ac:dyDescent="0.25">
      <c r="A266" s="142" t="s">
        <v>119</v>
      </c>
      <c r="B266" s="138">
        <v>2020</v>
      </c>
      <c r="C266" s="142" t="s">
        <v>400</v>
      </c>
      <c r="D266" s="141" t="s">
        <v>8</v>
      </c>
      <c r="E266" s="150"/>
      <c r="F266" s="143" t="s">
        <v>58</v>
      </c>
      <c r="G266" s="139">
        <v>17901615</v>
      </c>
      <c r="H266" s="139"/>
      <c r="I266" s="140"/>
    </row>
    <row r="267" spans="1:9" outlineLevel="1" x14ac:dyDescent="0.25">
      <c r="A267" s="142" t="s">
        <v>277</v>
      </c>
      <c r="B267" s="138">
        <v>2020</v>
      </c>
      <c r="C267" s="142" t="s">
        <v>411</v>
      </c>
      <c r="D267" s="141" t="s">
        <v>8</v>
      </c>
      <c r="E267" s="150"/>
      <c r="F267" s="143" t="s">
        <v>11</v>
      </c>
      <c r="G267" s="139">
        <v>122718484</v>
      </c>
      <c r="H267" s="139"/>
      <c r="I267" s="140"/>
    </row>
    <row r="268" spans="1:9" outlineLevel="1" x14ac:dyDescent="0.25">
      <c r="A268" s="142" t="s">
        <v>277</v>
      </c>
      <c r="B268" s="138">
        <v>2020</v>
      </c>
      <c r="C268" s="142" t="s">
        <v>404</v>
      </c>
      <c r="D268" s="141" t="s">
        <v>8</v>
      </c>
      <c r="E268" s="150"/>
      <c r="F268" s="143" t="s">
        <v>58</v>
      </c>
      <c r="G268" s="139">
        <v>33738315</v>
      </c>
      <c r="H268" s="139"/>
      <c r="I268" s="140"/>
    </row>
    <row r="269" spans="1:9" outlineLevel="1" x14ac:dyDescent="0.25">
      <c r="A269" s="142" t="s">
        <v>249</v>
      </c>
      <c r="B269" s="138">
        <v>2020</v>
      </c>
      <c r="C269" s="142" t="s">
        <v>418</v>
      </c>
      <c r="D269" s="141" t="s">
        <v>8</v>
      </c>
      <c r="E269" s="150"/>
      <c r="F269" s="143" t="s">
        <v>229</v>
      </c>
      <c r="G269" s="139">
        <v>94248688</v>
      </c>
      <c r="H269" s="139"/>
      <c r="I269" s="140"/>
    </row>
    <row r="270" spans="1:9" outlineLevel="1" x14ac:dyDescent="0.25">
      <c r="A270" s="142" t="s">
        <v>73</v>
      </c>
      <c r="B270" s="138">
        <v>2020</v>
      </c>
      <c r="C270" s="142" t="s">
        <v>425</v>
      </c>
      <c r="D270" s="141" t="s">
        <v>19</v>
      </c>
      <c r="E270" s="150"/>
      <c r="F270" s="143" t="s">
        <v>426</v>
      </c>
      <c r="G270" s="139">
        <v>5192800</v>
      </c>
      <c r="H270" s="139"/>
      <c r="I270" s="140"/>
    </row>
    <row r="271" spans="1:9" x14ac:dyDescent="0.25">
      <c r="A271" s="40"/>
      <c r="B271" s="40" t="s">
        <v>374</v>
      </c>
      <c r="C271" s="40">
        <f>COUNTA(C265:C270)</f>
        <v>6</v>
      </c>
      <c r="D271" s="101">
        <f>E271/C271</f>
        <v>0.83333333333333337</v>
      </c>
      <c r="E271" s="105">
        <f>COUNTIF(D265:D270,"*CMAR*")+COUNTIF(D265:D270, "*Design/Build*")+COUNTIF(D265:D270, "*PPEA*")+COUNTIF(D265:D270, "*Competitive Negotiation*")+COUNTIF(D265:D270, "*Sole Source*")+COUNTIF(D265:D270,"*Internal*")+COUNTIF(D265:D270, "*Lease Capital*")</f>
        <v>5</v>
      </c>
      <c r="F271" s="105"/>
      <c r="G271" s="58">
        <f>SUM(G265:G270)</f>
        <v>297001162</v>
      </c>
      <c r="H271" s="58">
        <f>G271-G270</f>
        <v>291808362</v>
      </c>
      <c r="I271" s="67">
        <f>H271/G271</f>
        <v>0.98251589332165645</v>
      </c>
    </row>
    <row r="272" spans="1:9" outlineLevel="1" x14ac:dyDescent="0.25">
      <c r="A272" s="142" t="s">
        <v>104</v>
      </c>
      <c r="B272" s="138">
        <v>2021</v>
      </c>
      <c r="C272" s="21" t="s">
        <v>372</v>
      </c>
      <c r="D272" s="141" t="s">
        <v>8</v>
      </c>
      <c r="E272" s="150"/>
      <c r="F272" s="143" t="s">
        <v>52</v>
      </c>
      <c r="G272" s="139">
        <v>80500000</v>
      </c>
      <c r="H272" s="139"/>
      <c r="I272" s="140"/>
    </row>
    <row r="273" spans="1:9" outlineLevel="1" x14ac:dyDescent="0.25">
      <c r="A273" s="142" t="s">
        <v>89</v>
      </c>
      <c r="B273" s="138">
        <v>2021</v>
      </c>
      <c r="C273" s="21" t="s">
        <v>376</v>
      </c>
      <c r="D273" s="141" t="s">
        <v>33</v>
      </c>
      <c r="E273" s="150"/>
      <c r="F273" s="143" t="s">
        <v>69</v>
      </c>
      <c r="G273" s="139">
        <v>50619880</v>
      </c>
      <c r="H273" s="139"/>
      <c r="I273" s="140"/>
    </row>
    <row r="274" spans="1:9" outlineLevel="1" x14ac:dyDescent="0.25">
      <c r="A274" s="19" t="s">
        <v>23</v>
      </c>
      <c r="B274" s="39">
        <v>2021</v>
      </c>
      <c r="C274" s="19" t="s">
        <v>379</v>
      </c>
      <c r="D274" s="19" t="s">
        <v>8</v>
      </c>
      <c r="F274" s="45" t="s">
        <v>11</v>
      </c>
      <c r="G274" s="20">
        <v>97578892</v>
      </c>
      <c r="H274" s="139"/>
      <c r="I274" s="140"/>
    </row>
    <row r="275" spans="1:9" outlineLevel="1" x14ac:dyDescent="0.25">
      <c r="A275" s="19" t="s">
        <v>277</v>
      </c>
      <c r="B275" s="39">
        <v>2021</v>
      </c>
      <c r="C275" s="21" t="s">
        <v>409</v>
      </c>
      <c r="D275" s="19" t="s">
        <v>8</v>
      </c>
      <c r="F275" s="45" t="s">
        <v>52</v>
      </c>
      <c r="G275" s="20">
        <v>69914000</v>
      </c>
      <c r="H275" s="139"/>
      <c r="I275" s="140"/>
    </row>
    <row r="276" spans="1:9" outlineLevel="1" x14ac:dyDescent="0.25">
      <c r="A276" s="19" t="s">
        <v>277</v>
      </c>
      <c r="B276" s="39">
        <v>2021</v>
      </c>
      <c r="C276" s="21" t="s">
        <v>410</v>
      </c>
      <c r="D276" s="19" t="s">
        <v>8</v>
      </c>
      <c r="F276" s="45" t="s">
        <v>58</v>
      </c>
      <c r="G276" s="20">
        <v>34500000</v>
      </c>
      <c r="H276" s="139"/>
      <c r="I276" s="140"/>
    </row>
    <row r="277" spans="1:9" x14ac:dyDescent="0.25">
      <c r="A277" s="40"/>
      <c r="B277" s="40" t="s">
        <v>375</v>
      </c>
      <c r="C277" s="40">
        <f>COUNTA(C272:C276)</f>
        <v>5</v>
      </c>
      <c r="D277" s="101">
        <f>E277/C277</f>
        <v>1</v>
      </c>
      <c r="E277" s="105">
        <f>COUNTIF(D272:D276, "*CMAR*")+COUNTIF(D272:D276, "*Design/Build*")+COUNTIF(D272:D276, "*PPEA*")+COUNTIF(D272:D276, "*Competitive Negotiation*")+COUNTIF(D272:D276, "*Sole Source*")+COUNTIF(D272:D276, "*Internal*")+COUNTIF(D272:D276, "*Lease Capital*")</f>
        <v>5</v>
      </c>
      <c r="F277" s="105"/>
      <c r="G277" s="58">
        <f>SUM(G272:G276)</f>
        <v>333112772</v>
      </c>
      <c r="H277" s="58">
        <f>G277-0</f>
        <v>333112772</v>
      </c>
      <c r="I277" s="67">
        <f>H277/G277</f>
        <v>1</v>
      </c>
    </row>
    <row r="278" spans="1:9" x14ac:dyDescent="0.25">
      <c r="A278" s="102"/>
      <c r="B278" s="102"/>
      <c r="C278" s="102"/>
      <c r="D278" s="135"/>
      <c r="E278" s="136"/>
      <c r="F278" s="136"/>
      <c r="G278" s="137"/>
      <c r="H278" s="137"/>
      <c r="I278" s="109"/>
    </row>
    <row r="279" spans="1:9" x14ac:dyDescent="0.25">
      <c r="A279" s="102"/>
      <c r="B279" s="102"/>
      <c r="C279" s="102"/>
      <c r="D279" s="135"/>
      <c r="E279" s="136"/>
      <c r="F279" s="136"/>
      <c r="G279" s="137"/>
      <c r="H279" s="137"/>
      <c r="I279" s="109"/>
    </row>
    <row r="280" spans="1:9" ht="15.75" thickBot="1" x14ac:dyDescent="0.3">
      <c r="B280" s="35" t="s">
        <v>310</v>
      </c>
      <c r="C280" s="113">
        <f>SUM(C21+C50+C78+C106+C134+C156+C186+C193+C209+C240+C256+C264+C271+C277)</f>
        <v>262</v>
      </c>
      <c r="D280" s="121">
        <f>E280/C280</f>
        <v>0.83969465648854957</v>
      </c>
      <c r="E280" s="122">
        <f>E21+E50+E78+E106+E134+E156+E186+E193+E209+E240+E256+E264+E271+E277</f>
        <v>220</v>
      </c>
      <c r="F280" s="164"/>
      <c r="G280" s="112">
        <f>SUM(G21+G50+G78+G106+G134+G156+G186+G193+G209+G240+G256+G264+G271+G277)</f>
        <v>6321003753</v>
      </c>
      <c r="H280" s="103">
        <f>H21+H50+H78+H106+H134+H156+H186+H193+H209+H240+H256+H264+H271+H277</f>
        <v>5876820701</v>
      </c>
      <c r="I280" s="104">
        <f>H280/G280</f>
        <v>0.92972903207197322</v>
      </c>
    </row>
    <row r="281" spans="1:9" ht="15.75" thickTop="1" x14ac:dyDescent="0.25"/>
    <row r="282" spans="1:9" x14ac:dyDescent="0.25">
      <c r="H282" s="52"/>
      <c r="I282" s="66"/>
    </row>
    <row r="283" spans="1:9" x14ac:dyDescent="0.25">
      <c r="H283" s="52"/>
      <c r="I283" s="66"/>
    </row>
    <row r="284" spans="1:9" x14ac:dyDescent="0.25">
      <c r="H284" s="52"/>
      <c r="I284" s="66"/>
    </row>
    <row r="285" spans="1:9" x14ac:dyDescent="0.25">
      <c r="H285" s="52"/>
      <c r="I285" s="66"/>
    </row>
    <row r="286" spans="1:9" x14ac:dyDescent="0.25">
      <c r="H286" s="52"/>
      <c r="I286" s="66"/>
    </row>
    <row r="287" spans="1:9" x14ac:dyDescent="0.25">
      <c r="H287" s="52"/>
      <c r="I287" s="66"/>
    </row>
    <row r="289" spans="7:9" x14ac:dyDescent="0.25">
      <c r="H289" s="52"/>
      <c r="I289" s="66"/>
    </row>
    <row r="290" spans="7:9" x14ac:dyDescent="0.25">
      <c r="H290" s="52"/>
      <c r="I290" s="66"/>
    </row>
    <row r="291" spans="7:9" x14ac:dyDescent="0.25">
      <c r="H291" s="52"/>
      <c r="I291" s="66"/>
    </row>
    <row r="292" spans="7:9" x14ac:dyDescent="0.25">
      <c r="H292" s="52"/>
      <c r="I292" s="66"/>
    </row>
    <row r="293" spans="7:9" x14ac:dyDescent="0.25">
      <c r="H293" s="52"/>
      <c r="I293" s="66"/>
    </row>
    <row r="294" spans="7:9" x14ac:dyDescent="0.25">
      <c r="H294" s="52"/>
      <c r="I294" s="66"/>
    </row>
    <row r="295" spans="7:9" x14ac:dyDescent="0.25">
      <c r="H295" s="52"/>
      <c r="I295" s="66"/>
    </row>
    <row r="296" spans="7:9" x14ac:dyDescent="0.25">
      <c r="H296" s="52"/>
      <c r="I296" s="66"/>
    </row>
    <row r="297" spans="7:9" x14ac:dyDescent="0.25">
      <c r="H297" s="52"/>
      <c r="I297" s="66"/>
    </row>
    <row r="298" spans="7:9" x14ac:dyDescent="0.25">
      <c r="H298" s="52"/>
      <c r="I298" s="66"/>
    </row>
    <row r="299" spans="7:9" x14ac:dyDescent="0.25">
      <c r="H299" s="52"/>
      <c r="I299" s="66"/>
    </row>
    <row r="300" spans="7:9" x14ac:dyDescent="0.25">
      <c r="H300" s="52"/>
      <c r="I300" s="66"/>
    </row>
    <row r="301" spans="7:9" x14ac:dyDescent="0.25">
      <c r="H301" s="52"/>
      <c r="I301" s="66"/>
    </row>
    <row r="302" spans="7:9" x14ac:dyDescent="0.25">
      <c r="H302" s="52"/>
      <c r="I302" s="66"/>
    </row>
    <row r="304" spans="7:9" x14ac:dyDescent="0.25">
      <c r="G304" s="110"/>
      <c r="H304" s="110"/>
      <c r="I304" s="111"/>
    </row>
  </sheetData>
  <pageMargins left="0.25" right="0.25" top="0.75" bottom="0.75" header="0.3" footer="0.3"/>
  <pageSetup paperSize="5" scale="78" fitToHeight="0" orientation="landscape" r:id="rId1"/>
  <headerFooter>
    <oddHeader>&amp;C&amp;"-,Bold"&amp;12YEAR TOTALS - OTHER METHOD (O.M.) % USE AND TOTAL MONEY ($) OF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569"/>
  <sheetViews>
    <sheetView topLeftCell="A57" zoomScaleNormal="100" workbookViewId="0">
      <selection activeCell="F59" sqref="F59"/>
    </sheetView>
  </sheetViews>
  <sheetFormatPr defaultRowHeight="15" outlineLevelRow="1" outlineLevelCol="1" x14ac:dyDescent="0.25"/>
  <cols>
    <col min="1" max="1" width="18.85546875" style="52" bestFit="1" customWidth="1"/>
    <col min="2" max="2" width="9.7109375" style="8" customWidth="1" outlineLevel="1"/>
    <col min="3" max="3" width="35.140625" style="8" bestFit="1" customWidth="1" outlineLevel="1"/>
    <col min="4" max="4" width="82.42578125" bestFit="1" customWidth="1" outlineLevel="1"/>
    <col min="5" max="5" width="23.42578125" customWidth="1" outlineLevel="1"/>
    <col min="6" max="7" width="13.85546875" style="52" bestFit="1" customWidth="1"/>
    <col min="8" max="8" width="12.28515625" style="8" customWidth="1"/>
    <col min="9" max="10" width="16.7109375" style="8" customWidth="1"/>
    <col min="11" max="12" width="16.7109375" style="52" customWidth="1"/>
    <col min="13" max="13" width="28.85546875" style="52" bestFit="1" customWidth="1"/>
  </cols>
  <sheetData>
    <row r="1" spans="1:13" s="8" customFormat="1" ht="56.25" x14ac:dyDescent="0.3">
      <c r="A1" s="37" t="s">
        <v>0</v>
      </c>
      <c r="B1" s="38" t="s">
        <v>324</v>
      </c>
      <c r="C1" s="38" t="s">
        <v>4</v>
      </c>
      <c r="D1" s="37" t="s">
        <v>2</v>
      </c>
      <c r="E1" s="37" t="s">
        <v>329</v>
      </c>
      <c r="F1" s="38" t="s">
        <v>325</v>
      </c>
      <c r="G1" s="38" t="s">
        <v>319</v>
      </c>
      <c r="H1" s="38" t="s">
        <v>320</v>
      </c>
      <c r="I1" s="38" t="s">
        <v>353</v>
      </c>
      <c r="J1" s="38" t="s">
        <v>297</v>
      </c>
      <c r="K1" s="38" t="s">
        <v>354</v>
      </c>
      <c r="L1" s="38" t="s">
        <v>355</v>
      </c>
      <c r="M1" s="55" t="s">
        <v>321</v>
      </c>
    </row>
    <row r="2" spans="1:13" hidden="1" outlineLevel="1" x14ac:dyDescent="0.25">
      <c r="A2" s="87" t="s">
        <v>6</v>
      </c>
      <c r="B2" s="106">
        <v>2016</v>
      </c>
      <c r="C2" s="42" t="s">
        <v>21</v>
      </c>
      <c r="D2" s="21" t="s">
        <v>20</v>
      </c>
      <c r="E2" s="21" t="s">
        <v>19</v>
      </c>
      <c r="F2" s="56">
        <v>9500000</v>
      </c>
      <c r="G2" s="64">
        <f>SUM(F2)</f>
        <v>9500000</v>
      </c>
      <c r="H2" s="8">
        <f>COUNTIF(C2:C12, "*E.T. Gresham Company*")</f>
        <v>1</v>
      </c>
      <c r="M2" s="66">
        <f>G2/F14</f>
        <v>2.8046968646429558E-2</v>
      </c>
    </row>
    <row r="3" spans="1:13" hidden="1" outlineLevel="1" x14ac:dyDescent="0.25">
      <c r="A3" s="52" t="s">
        <v>6</v>
      </c>
      <c r="B3" s="8">
        <v>2010</v>
      </c>
      <c r="C3" s="43" t="s">
        <v>9</v>
      </c>
      <c r="D3" t="s">
        <v>7</v>
      </c>
      <c r="E3" t="s">
        <v>8</v>
      </c>
      <c r="F3" s="57">
        <v>27800000</v>
      </c>
      <c r="G3" s="65"/>
    </row>
    <row r="4" spans="1:13" hidden="1" outlineLevel="1" x14ac:dyDescent="0.25">
      <c r="A4" s="52" t="s">
        <v>6</v>
      </c>
      <c r="B4" s="8">
        <v>2012</v>
      </c>
      <c r="C4" s="43" t="s">
        <v>9</v>
      </c>
      <c r="D4" t="s">
        <v>14</v>
      </c>
      <c r="E4" t="s">
        <v>8</v>
      </c>
      <c r="F4" s="57">
        <v>33100000</v>
      </c>
      <c r="G4" s="65"/>
    </row>
    <row r="5" spans="1:13" hidden="1" outlineLevel="1" x14ac:dyDescent="0.25">
      <c r="A5" s="52" t="s">
        <v>6</v>
      </c>
      <c r="B5" s="8">
        <v>2012</v>
      </c>
      <c r="C5" s="43" t="s">
        <v>9</v>
      </c>
      <c r="D5" t="s">
        <v>15</v>
      </c>
      <c r="E5" t="s">
        <v>8</v>
      </c>
      <c r="F5" s="57">
        <v>6400000</v>
      </c>
      <c r="G5" s="65"/>
    </row>
    <row r="6" spans="1:13" hidden="1" outlineLevel="1" x14ac:dyDescent="0.25">
      <c r="A6" s="87" t="s">
        <v>6</v>
      </c>
      <c r="B6" s="106">
        <v>2016</v>
      </c>
      <c r="C6" s="42" t="s">
        <v>9</v>
      </c>
      <c r="D6" s="21" t="s">
        <v>17</v>
      </c>
      <c r="E6" s="21" t="s">
        <v>8</v>
      </c>
      <c r="F6" s="56">
        <v>43418000</v>
      </c>
      <c r="G6" s="64">
        <f>SUM(F3:F6)</f>
        <v>110718000</v>
      </c>
      <c r="H6" s="8">
        <f>COUNTIF(C2:C12, "*W.M. Jordan Company, Inc.*")</f>
        <v>4</v>
      </c>
      <c r="M6" s="66">
        <f>G6/F14</f>
        <v>0.32687413416793554</v>
      </c>
    </row>
    <row r="7" spans="1:13" hidden="1" outlineLevel="1" x14ac:dyDescent="0.25">
      <c r="A7" s="52" t="s">
        <v>6</v>
      </c>
      <c r="B7" s="8">
        <v>2010</v>
      </c>
      <c r="C7" s="43" t="s">
        <v>11</v>
      </c>
      <c r="D7" t="s">
        <v>10</v>
      </c>
      <c r="E7" s="21" t="s">
        <v>8</v>
      </c>
      <c r="F7" s="57">
        <v>58700000</v>
      </c>
      <c r="G7" s="65"/>
    </row>
    <row r="8" spans="1:13" hidden="1" outlineLevel="1" x14ac:dyDescent="0.25">
      <c r="A8" s="52" t="s">
        <v>6</v>
      </c>
      <c r="B8" s="8">
        <v>2011</v>
      </c>
      <c r="C8" s="43" t="s">
        <v>11</v>
      </c>
      <c r="D8" t="s">
        <v>12</v>
      </c>
      <c r="E8" s="21" t="s">
        <v>8</v>
      </c>
      <c r="F8" s="57">
        <v>16400000</v>
      </c>
      <c r="G8" s="65"/>
    </row>
    <row r="9" spans="1:13" hidden="1" outlineLevel="1" x14ac:dyDescent="0.25">
      <c r="A9" s="52" t="s">
        <v>6</v>
      </c>
      <c r="B9" s="8">
        <v>2011</v>
      </c>
      <c r="C9" s="43" t="s">
        <v>11</v>
      </c>
      <c r="D9" t="s">
        <v>13</v>
      </c>
      <c r="E9" s="21" t="s">
        <v>8</v>
      </c>
      <c r="F9" s="57">
        <v>45100000</v>
      </c>
      <c r="G9" s="65"/>
    </row>
    <row r="10" spans="1:13" hidden="1" outlineLevel="1" x14ac:dyDescent="0.25">
      <c r="A10" s="52" t="s">
        <v>6</v>
      </c>
      <c r="B10" s="8">
        <v>2014</v>
      </c>
      <c r="C10" s="43" t="s">
        <v>11</v>
      </c>
      <c r="D10" t="s">
        <v>16</v>
      </c>
      <c r="E10" s="21" t="s">
        <v>8</v>
      </c>
      <c r="F10" s="57">
        <v>42000000</v>
      </c>
      <c r="G10" s="65"/>
    </row>
    <row r="11" spans="1:13" hidden="1" outlineLevel="1" x14ac:dyDescent="0.25">
      <c r="A11" s="87" t="s">
        <v>6</v>
      </c>
      <c r="B11" s="106">
        <v>2016</v>
      </c>
      <c r="C11" s="42" t="s">
        <v>11</v>
      </c>
      <c r="D11" s="21" t="s">
        <v>18</v>
      </c>
      <c r="E11" s="21" t="s">
        <v>19</v>
      </c>
      <c r="F11" s="56">
        <v>5835000</v>
      </c>
      <c r="G11" s="65"/>
    </row>
    <row r="12" spans="1:13" hidden="1" outlineLevel="1" x14ac:dyDescent="0.25">
      <c r="A12" s="87" t="s">
        <v>6</v>
      </c>
      <c r="B12" s="106">
        <v>2017</v>
      </c>
      <c r="C12" s="42" t="s">
        <v>11</v>
      </c>
      <c r="D12" s="21" t="s">
        <v>22</v>
      </c>
      <c r="E12" s="21" t="s">
        <v>8</v>
      </c>
      <c r="F12" s="56">
        <v>50464532</v>
      </c>
      <c r="G12" s="64">
        <f>SUM(F7:F12)</f>
        <v>218499532</v>
      </c>
      <c r="H12" s="8">
        <f>COUNTIF(C2:C12, "*Whiting-Turner Contracting Co*")</f>
        <v>6</v>
      </c>
      <c r="M12" s="66">
        <f>G12/F14</f>
        <v>0.64507889718563494</v>
      </c>
    </row>
    <row r="13" spans="1:13" hidden="1" outlineLevel="1" x14ac:dyDescent="0.25">
      <c r="A13" s="87"/>
      <c r="B13" s="106"/>
      <c r="C13" s="42"/>
      <c r="D13" s="21"/>
      <c r="E13" s="21"/>
      <c r="F13" s="56"/>
      <c r="G13" s="64"/>
      <c r="M13" s="66"/>
    </row>
    <row r="14" spans="1:13" collapsed="1" x14ac:dyDescent="0.25">
      <c r="A14" s="88" t="s">
        <v>322</v>
      </c>
      <c r="B14" s="40"/>
      <c r="C14" s="44"/>
      <c r="D14" s="40"/>
      <c r="E14" s="40"/>
      <c r="F14" s="58">
        <f>SUM(F2:F13)</f>
        <v>338717532</v>
      </c>
      <c r="G14" s="58">
        <f>SUM(G2:G13)</f>
        <v>338717532</v>
      </c>
      <c r="H14" s="40">
        <f>SUM(H2:H13)</f>
        <v>11</v>
      </c>
      <c r="I14" s="40">
        <f>COUNTIF(E2:E13, "*Competitive Bid*")</f>
        <v>2</v>
      </c>
      <c r="J14" s="40">
        <f>H14-I14</f>
        <v>9</v>
      </c>
      <c r="K14" s="67">
        <f>J14/H14</f>
        <v>0.81818181818181823</v>
      </c>
      <c r="L14" s="67">
        <f>(F2+F11)/F14</f>
        <v>4.52737120203155E-2</v>
      </c>
      <c r="M14" s="67">
        <f>SUM(M2:M13)</f>
        <v>1</v>
      </c>
    </row>
    <row r="15" spans="1:13" hidden="1" outlineLevel="1" x14ac:dyDescent="0.25">
      <c r="A15" s="52" t="s">
        <v>23</v>
      </c>
      <c r="B15" s="8">
        <v>2010</v>
      </c>
      <c r="C15" s="43" t="s">
        <v>31</v>
      </c>
      <c r="D15" t="s">
        <v>36</v>
      </c>
      <c r="E15" s="21" t="s">
        <v>330</v>
      </c>
      <c r="F15" s="57">
        <v>47457000</v>
      </c>
      <c r="M15" s="66"/>
    </row>
    <row r="16" spans="1:13" hidden="1" outlineLevel="1" x14ac:dyDescent="0.25">
      <c r="A16" s="52" t="s">
        <v>23</v>
      </c>
      <c r="B16" s="207">
        <v>2013</v>
      </c>
      <c r="C16" s="43" t="s">
        <v>31</v>
      </c>
      <c r="D16" t="s">
        <v>40</v>
      </c>
      <c r="E16" s="21" t="s">
        <v>330</v>
      </c>
      <c r="F16" s="209">
        <v>15878554</v>
      </c>
      <c r="M16" s="66"/>
    </row>
    <row r="17" spans="1:13" hidden="1" outlineLevel="1" x14ac:dyDescent="0.25">
      <c r="A17" s="52" t="s">
        <v>23</v>
      </c>
      <c r="B17" s="207">
        <v>2014</v>
      </c>
      <c r="C17" s="43" t="s">
        <v>31</v>
      </c>
      <c r="D17" t="s">
        <v>30</v>
      </c>
      <c r="E17" s="21" t="s">
        <v>19</v>
      </c>
      <c r="F17" s="209">
        <v>8603478</v>
      </c>
      <c r="G17" s="57">
        <f>SUM(F15:F17)</f>
        <v>71939032</v>
      </c>
      <c r="H17" s="8">
        <f>COUNTIF(C15:C31, "*Balfour Beatty Construction, LLC.*")</f>
        <v>3</v>
      </c>
      <c r="M17" s="66">
        <f>G17/F33</f>
        <v>0.14672632959584214</v>
      </c>
    </row>
    <row r="18" spans="1:13" hidden="1" outlineLevel="1" x14ac:dyDescent="0.25">
      <c r="A18" s="52" t="s">
        <v>23</v>
      </c>
      <c r="B18" s="207">
        <v>2013</v>
      </c>
      <c r="C18" s="43" t="s">
        <v>42</v>
      </c>
      <c r="D18" t="s">
        <v>41</v>
      </c>
      <c r="E18" s="21" t="s">
        <v>330</v>
      </c>
      <c r="F18" s="209">
        <v>15056821</v>
      </c>
      <c r="G18" s="57">
        <f t="shared" ref="G18:G26" si="0">SUM(F18)</f>
        <v>15056821</v>
      </c>
      <c r="H18" s="8">
        <f>COUNTIF(C15:C31, "*Branch Highways*")</f>
        <v>1</v>
      </c>
      <c r="M18" s="66">
        <f>G18/F33</f>
        <v>3.0709783260797801E-2</v>
      </c>
    </row>
    <row r="19" spans="1:13" hidden="1" outlineLevel="1" x14ac:dyDescent="0.25">
      <c r="A19" s="52" t="s">
        <v>23</v>
      </c>
      <c r="B19" s="8">
        <v>2012</v>
      </c>
      <c r="C19" s="43" t="s">
        <v>49</v>
      </c>
      <c r="D19" t="s">
        <v>24</v>
      </c>
      <c r="E19" s="21" t="s">
        <v>8</v>
      </c>
      <c r="F19" s="57">
        <v>40567069</v>
      </c>
      <c r="G19" s="57">
        <f t="shared" si="0"/>
        <v>40567069</v>
      </c>
      <c r="H19" s="8">
        <f>COUNTIF(C15:C31, "*Donley's LLC.*")</f>
        <v>1</v>
      </c>
      <c r="M19" s="66">
        <f>G19/F33</f>
        <v>8.2740300659470509E-2</v>
      </c>
    </row>
    <row r="20" spans="1:13" hidden="1" outlineLevel="1" x14ac:dyDescent="0.25">
      <c r="A20" s="52" t="s">
        <v>23</v>
      </c>
      <c r="B20" s="8">
        <v>2012</v>
      </c>
      <c r="C20" s="43" t="s">
        <v>39</v>
      </c>
      <c r="D20" t="s">
        <v>38</v>
      </c>
      <c r="E20" s="21" t="s">
        <v>330</v>
      </c>
      <c r="F20" s="57">
        <v>12080000</v>
      </c>
      <c r="G20" s="57">
        <f t="shared" si="0"/>
        <v>12080000</v>
      </c>
      <c r="H20" s="8">
        <f>COUNTIF(C15:C28, "*Dustin Construction, Inc.*")</f>
        <v>1</v>
      </c>
      <c r="M20" s="66">
        <f>G20/F33</f>
        <v>2.4638280669633878E-2</v>
      </c>
    </row>
    <row r="21" spans="1:13" hidden="1" outlineLevel="1" x14ac:dyDescent="0.25">
      <c r="A21" s="52" t="s">
        <v>23</v>
      </c>
      <c r="B21" s="8">
        <v>2009</v>
      </c>
      <c r="C21" s="43" t="s">
        <v>34</v>
      </c>
      <c r="D21" t="s">
        <v>32</v>
      </c>
      <c r="E21" s="21" t="s">
        <v>330</v>
      </c>
      <c r="F21" s="57">
        <v>17550000</v>
      </c>
      <c r="G21" s="57">
        <f t="shared" si="0"/>
        <v>17550000</v>
      </c>
      <c r="H21" s="8">
        <f>COUNTIF(C15:C31, "*Hess Construction Company*")</f>
        <v>1</v>
      </c>
      <c r="M21" s="66">
        <f>G21/F33</f>
        <v>3.5794853125171736E-2</v>
      </c>
    </row>
    <row r="22" spans="1:13" hidden="1" outlineLevel="1" x14ac:dyDescent="0.25">
      <c r="A22" s="52" t="s">
        <v>23</v>
      </c>
      <c r="B22" s="207">
        <v>2019</v>
      </c>
      <c r="C22" s="43" t="s">
        <v>380</v>
      </c>
      <c r="D22" t="s">
        <v>377</v>
      </c>
      <c r="E22" s="21" t="s">
        <v>8</v>
      </c>
      <c r="F22" s="209">
        <v>11729047</v>
      </c>
      <c r="G22" s="57">
        <f t="shared" si="0"/>
        <v>11729047</v>
      </c>
      <c r="H22" s="8">
        <f>COUNTIF(C18:C32, "*James G. Davis Construction*")</f>
        <v>1</v>
      </c>
      <c r="M22" s="66">
        <f>G22/F33</f>
        <v>2.3922479467990664E-2</v>
      </c>
    </row>
    <row r="23" spans="1:13" hidden="1" outlineLevel="1" x14ac:dyDescent="0.25">
      <c r="A23" s="52" t="s">
        <v>23</v>
      </c>
      <c r="B23" s="8">
        <v>2011</v>
      </c>
      <c r="C23" s="43" t="s">
        <v>27</v>
      </c>
      <c r="D23" t="s">
        <v>26</v>
      </c>
      <c r="E23" s="21" t="s">
        <v>19</v>
      </c>
      <c r="F23" s="57">
        <v>6877000</v>
      </c>
      <c r="G23" s="57">
        <f t="shared" si="0"/>
        <v>6877000</v>
      </c>
      <c r="H23" s="8">
        <f>COUNTIF(C15:C31, "*Keller Brothers, Inc.*")</f>
        <v>1</v>
      </c>
      <c r="M23" s="66">
        <f>G23/F33</f>
        <v>1.4026279483863591E-2</v>
      </c>
    </row>
    <row r="24" spans="1:13" hidden="1" outlineLevel="1" x14ac:dyDescent="0.25">
      <c r="A24" s="52" t="s">
        <v>23</v>
      </c>
      <c r="B24" s="8">
        <v>2012</v>
      </c>
      <c r="C24" s="43" t="s">
        <v>29</v>
      </c>
      <c r="D24" t="s">
        <v>28</v>
      </c>
      <c r="E24" s="21" t="s">
        <v>19</v>
      </c>
      <c r="F24" s="57">
        <v>5825000</v>
      </c>
      <c r="G24" s="57">
        <f t="shared" si="0"/>
        <v>5825000</v>
      </c>
      <c r="H24" s="8">
        <f>COUNTIF(C15:C31, "*Tuckman-Barbee Construction Co*")</f>
        <v>1</v>
      </c>
      <c r="M24" s="66">
        <f>G24/F33</f>
        <v>1.1880627889123951E-2</v>
      </c>
    </row>
    <row r="25" spans="1:13" hidden="1" outlineLevel="1" x14ac:dyDescent="0.25">
      <c r="A25" s="53" t="s">
        <v>23</v>
      </c>
      <c r="B25" s="39">
        <v>2009</v>
      </c>
      <c r="C25" s="45" t="s">
        <v>45</v>
      </c>
      <c r="D25" s="19" t="s">
        <v>43</v>
      </c>
      <c r="E25" s="21" t="s">
        <v>44</v>
      </c>
      <c r="F25" s="59">
        <v>50292000</v>
      </c>
      <c r="G25" s="57">
        <f t="shared" si="0"/>
        <v>50292000</v>
      </c>
      <c r="H25" s="8">
        <f>COUNTIF(C15:C31, "*University Hotel Partners, LLC.*")</f>
        <v>1</v>
      </c>
      <c r="M25" s="66">
        <f>G25/F33</f>
        <v>0.10257519962228701</v>
      </c>
    </row>
    <row r="26" spans="1:13" hidden="1" outlineLevel="1" x14ac:dyDescent="0.25">
      <c r="A26" s="52" t="s">
        <v>23</v>
      </c>
      <c r="B26" s="8">
        <v>2011</v>
      </c>
      <c r="C26" s="43" t="s">
        <v>9</v>
      </c>
      <c r="D26" t="s">
        <v>37</v>
      </c>
      <c r="E26" s="21" t="s">
        <v>330</v>
      </c>
      <c r="F26" s="57">
        <v>11798750</v>
      </c>
      <c r="G26" s="57">
        <f t="shared" si="0"/>
        <v>11798750</v>
      </c>
      <c r="H26" s="8">
        <f>COUNTIF(C15:C31, "*W.M. Jordan Company, Inc.*")</f>
        <v>1</v>
      </c>
      <c r="M26" s="66">
        <f>G26/F33</f>
        <v>2.406464520288433E-2</v>
      </c>
    </row>
    <row r="27" spans="1:13" hidden="1" outlineLevel="1" x14ac:dyDescent="0.25">
      <c r="A27" s="52" t="s">
        <v>23</v>
      </c>
      <c r="B27" s="8">
        <v>2010</v>
      </c>
      <c r="C27" s="43" t="s">
        <v>11</v>
      </c>
      <c r="D27" t="s">
        <v>35</v>
      </c>
      <c r="E27" s="21" t="s">
        <v>330</v>
      </c>
      <c r="F27" s="57">
        <v>8140138</v>
      </c>
      <c r="I27" s="206">
        <f>F16+F17+F18+F22+F28+F29+F30+F31</f>
        <v>289706995</v>
      </c>
      <c r="M27" s="66"/>
    </row>
    <row r="28" spans="1:13" hidden="1" outlineLevel="1" x14ac:dyDescent="0.25">
      <c r="A28" s="52" t="s">
        <v>23</v>
      </c>
      <c r="B28" s="207">
        <v>2014</v>
      </c>
      <c r="C28" s="43" t="s">
        <v>11</v>
      </c>
      <c r="D28" t="s">
        <v>25</v>
      </c>
      <c r="E28" s="21" t="s">
        <v>8</v>
      </c>
      <c r="F28" s="209">
        <v>40509946</v>
      </c>
      <c r="I28" s="206">
        <f>F28+F29+F30+F31</f>
        <v>238439095</v>
      </c>
      <c r="M28" s="66"/>
    </row>
    <row r="29" spans="1:13" hidden="1" outlineLevel="1" x14ac:dyDescent="0.25">
      <c r="A29" s="87" t="s">
        <v>23</v>
      </c>
      <c r="B29" s="208">
        <v>2016</v>
      </c>
      <c r="C29" s="42" t="s">
        <v>11</v>
      </c>
      <c r="D29" s="21" t="s">
        <v>46</v>
      </c>
      <c r="E29" s="21" t="s">
        <v>8</v>
      </c>
      <c r="F29" s="210">
        <v>54797710</v>
      </c>
      <c r="I29" s="8">
        <f>I28/I27</f>
        <v>0.82303533955056907</v>
      </c>
    </row>
    <row r="30" spans="1:13" hidden="1" outlineLevel="1" x14ac:dyDescent="0.25">
      <c r="A30" s="52" t="s">
        <v>23</v>
      </c>
      <c r="B30" s="207">
        <v>2018</v>
      </c>
      <c r="C30" s="43" t="s">
        <v>11</v>
      </c>
      <c r="D30" s="21" t="s">
        <v>378</v>
      </c>
      <c r="E30" s="21" t="s">
        <v>8</v>
      </c>
      <c r="F30" s="209">
        <v>45552547</v>
      </c>
      <c r="M30" s="66"/>
    </row>
    <row r="31" spans="1:13" hidden="1" outlineLevel="1" x14ac:dyDescent="0.25">
      <c r="A31" s="52" t="s">
        <v>23</v>
      </c>
      <c r="B31" s="207">
        <v>2021</v>
      </c>
      <c r="C31" s="43" t="s">
        <v>11</v>
      </c>
      <c r="D31" s="21" t="s">
        <v>381</v>
      </c>
      <c r="E31" s="21" t="s">
        <v>8</v>
      </c>
      <c r="F31" s="209">
        <v>97578892</v>
      </c>
      <c r="G31" s="57">
        <f>SUM(F27:F31)</f>
        <v>246579233</v>
      </c>
      <c r="H31" s="8">
        <f>COUNTIF(C15:C31, "*Whiting-Turner Contracting Co*")</f>
        <v>5</v>
      </c>
      <c r="M31" s="66">
        <f>G31/F33</f>
        <v>0.50292122102293446</v>
      </c>
    </row>
    <row r="32" spans="1:13" hidden="1" outlineLevel="1" x14ac:dyDescent="0.25"/>
    <row r="33" spans="1:13" s="36" customFormat="1" collapsed="1" x14ac:dyDescent="0.25">
      <c r="A33" s="88" t="s">
        <v>323</v>
      </c>
      <c r="B33" s="40"/>
      <c r="C33" s="44"/>
      <c r="D33" s="41"/>
      <c r="E33" s="41"/>
      <c r="F33" s="58">
        <f>SUM(F15:F32)</f>
        <v>490293952</v>
      </c>
      <c r="G33" s="58">
        <f>SUM(G15:G32)</f>
        <v>490293952</v>
      </c>
      <c r="H33" s="40">
        <f>SUM(H15:H32)</f>
        <v>17</v>
      </c>
      <c r="I33" s="40">
        <f>COUNTIF(E15:E32, "*Competitive Bid*")</f>
        <v>3</v>
      </c>
      <c r="J33" s="40">
        <f>H33-I33</f>
        <v>14</v>
      </c>
      <c r="K33" s="67">
        <f>J33/H33</f>
        <v>0.82352941176470584</v>
      </c>
      <c r="L33" s="67">
        <f>(F17+F23+F24)/F33</f>
        <v>4.3454498904363398E-2</v>
      </c>
      <c r="M33" s="67">
        <f>SUM(M15:M32)</f>
        <v>1</v>
      </c>
    </row>
    <row r="34" spans="1:13" outlineLevel="1" x14ac:dyDescent="0.25">
      <c r="A34" s="52" t="s">
        <v>47</v>
      </c>
      <c r="B34" s="8">
        <v>2018</v>
      </c>
      <c r="C34" s="43" t="s">
        <v>75</v>
      </c>
      <c r="D34" t="s">
        <v>394</v>
      </c>
      <c r="E34" t="s">
        <v>33</v>
      </c>
      <c r="F34" s="57">
        <v>12075000</v>
      </c>
      <c r="G34" s="57">
        <f>SUM(F34)</f>
        <v>12075000</v>
      </c>
      <c r="H34" s="8">
        <f>COUNTIF(C34:C56, "*Branch &amp; Associates, Inc.*")</f>
        <v>1</v>
      </c>
      <c r="M34" s="66">
        <f>G34/F59</f>
        <v>1.5296368062290145E-2</v>
      </c>
    </row>
    <row r="35" spans="1:13" outlineLevel="1" x14ac:dyDescent="0.25">
      <c r="A35" s="52" t="s">
        <v>47</v>
      </c>
      <c r="B35" s="8">
        <v>2008</v>
      </c>
      <c r="C35" t="s">
        <v>49</v>
      </c>
      <c r="D35" t="s">
        <v>48</v>
      </c>
      <c r="E35" s="21" t="s">
        <v>8</v>
      </c>
      <c r="F35" s="57">
        <v>18768000</v>
      </c>
      <c r="M35" s="66"/>
    </row>
    <row r="36" spans="1:13" outlineLevel="1" x14ac:dyDescent="0.25">
      <c r="A36" s="52" t="s">
        <v>47</v>
      </c>
      <c r="B36" s="8">
        <v>2009</v>
      </c>
      <c r="C36" t="s">
        <v>49</v>
      </c>
      <c r="D36" t="s">
        <v>50</v>
      </c>
      <c r="E36" s="21" t="s">
        <v>8</v>
      </c>
      <c r="F36" s="57">
        <v>53950000</v>
      </c>
      <c r="M36" s="66"/>
    </row>
    <row r="37" spans="1:13" outlineLevel="1" x14ac:dyDescent="0.25">
      <c r="A37" s="53" t="s">
        <v>47</v>
      </c>
      <c r="B37" s="39">
        <v>2010</v>
      </c>
      <c r="C37" s="19" t="s">
        <v>49</v>
      </c>
      <c r="D37" s="19" t="s">
        <v>53</v>
      </c>
      <c r="E37" s="21" t="s">
        <v>8</v>
      </c>
      <c r="F37" s="59">
        <v>11394000</v>
      </c>
      <c r="G37" s="53"/>
      <c r="H37" s="39"/>
      <c r="I37" s="39"/>
      <c r="J37" s="39"/>
      <c r="K37" s="53"/>
      <c r="L37" s="53"/>
      <c r="M37" s="66"/>
    </row>
    <row r="38" spans="1:13" outlineLevel="1" x14ac:dyDescent="0.25">
      <c r="A38" s="53" t="s">
        <v>47</v>
      </c>
      <c r="B38" s="39">
        <v>2013</v>
      </c>
      <c r="C38" s="19" t="s">
        <v>49</v>
      </c>
      <c r="D38" s="19" t="s">
        <v>56</v>
      </c>
      <c r="E38" s="21" t="s">
        <v>8</v>
      </c>
      <c r="F38" s="59">
        <v>38996387</v>
      </c>
      <c r="G38" s="59">
        <f>SUM(F35:F38)</f>
        <v>123108387</v>
      </c>
      <c r="H38" s="39">
        <f>COUNTIF(C34:C56, "*Donley's LLC.*")</f>
        <v>4</v>
      </c>
      <c r="I38" s="39"/>
      <c r="J38" s="39"/>
      <c r="K38" s="53"/>
      <c r="L38" s="53"/>
      <c r="M38" s="66">
        <f>G38/F59</f>
        <v>0.15595123802127167</v>
      </c>
    </row>
    <row r="39" spans="1:13" outlineLevel="1" x14ac:dyDescent="0.25">
      <c r="A39" s="53" t="s">
        <v>47</v>
      </c>
      <c r="B39" s="39">
        <v>2016</v>
      </c>
      <c r="C39" s="19" t="s">
        <v>67</v>
      </c>
      <c r="D39" s="19" t="s">
        <v>66</v>
      </c>
      <c r="E39" s="21" t="s">
        <v>19</v>
      </c>
      <c r="F39" s="59">
        <v>5869548</v>
      </c>
      <c r="G39" s="59">
        <f>SUM(F39)</f>
        <v>5869548</v>
      </c>
      <c r="H39" s="39">
        <f>COUNTIF(C35:C56, "*Harrisonburg Construction, Inc.*")</f>
        <v>1</v>
      </c>
      <c r="I39" s="39"/>
      <c r="J39" s="39"/>
      <c r="K39" s="53"/>
      <c r="L39" s="53"/>
      <c r="M39" s="66">
        <f>G39/F59</f>
        <v>7.435425802673209E-3</v>
      </c>
    </row>
    <row r="40" spans="1:13" outlineLevel="1" x14ac:dyDescent="0.25">
      <c r="A40" s="53" t="s">
        <v>47</v>
      </c>
      <c r="B40" s="39">
        <v>2014</v>
      </c>
      <c r="C40" s="19" t="s">
        <v>58</v>
      </c>
      <c r="D40" s="19" t="s">
        <v>57</v>
      </c>
      <c r="E40" s="21" t="s">
        <v>8</v>
      </c>
      <c r="F40" s="59">
        <v>42712270</v>
      </c>
      <c r="G40" s="53"/>
      <c r="H40" s="39"/>
      <c r="I40" s="39"/>
      <c r="J40" s="39"/>
      <c r="K40" s="53"/>
      <c r="L40" s="53"/>
      <c r="M40" s="66"/>
    </row>
    <row r="41" spans="1:13" outlineLevel="1" x14ac:dyDescent="0.25">
      <c r="A41" s="53" t="s">
        <v>47</v>
      </c>
      <c r="B41" s="39">
        <v>2017</v>
      </c>
      <c r="C41" s="19" t="s">
        <v>58</v>
      </c>
      <c r="D41" s="19" t="s">
        <v>71</v>
      </c>
      <c r="E41" s="21" t="s">
        <v>8</v>
      </c>
      <c r="F41" s="59">
        <v>72835614</v>
      </c>
      <c r="G41" s="59">
        <f>SUM(F40:F41)</f>
        <v>115547884</v>
      </c>
      <c r="H41" s="39">
        <f>COUNTIF(C35:C56, "*Kjellstrom &amp; Lee, Inc.*")</f>
        <v>2</v>
      </c>
      <c r="I41" s="39"/>
      <c r="J41" s="39"/>
      <c r="K41" s="53"/>
      <c r="L41" s="53"/>
      <c r="M41" s="66">
        <f>G41/F59</f>
        <v>0.14637374430499434</v>
      </c>
    </row>
    <row r="42" spans="1:13" outlineLevel="1" x14ac:dyDescent="0.25">
      <c r="A42" s="53" t="s">
        <v>47</v>
      </c>
      <c r="B42" s="39">
        <v>2010</v>
      </c>
      <c r="C42" s="19" t="s">
        <v>64</v>
      </c>
      <c r="D42" s="19" t="s">
        <v>63</v>
      </c>
      <c r="E42" s="21" t="s">
        <v>19</v>
      </c>
      <c r="F42" s="59">
        <v>7698400</v>
      </c>
      <c r="G42" s="59">
        <f>SUM(F42)</f>
        <v>7698400</v>
      </c>
      <c r="H42" s="39">
        <f>COUNTIF(C35:C56, "*Lantz Construction Company*")</f>
        <v>1</v>
      </c>
      <c r="I42" s="39"/>
      <c r="J42" s="39"/>
      <c r="K42" s="53"/>
      <c r="L42" s="53"/>
      <c r="M42" s="66">
        <f>G42/F59</f>
        <v>9.7521788729386712E-3</v>
      </c>
    </row>
    <row r="43" spans="1:13" outlineLevel="1" x14ac:dyDescent="0.25">
      <c r="A43" s="53" t="s">
        <v>47</v>
      </c>
      <c r="B43" s="39">
        <v>2008</v>
      </c>
      <c r="C43" s="19" t="s">
        <v>61</v>
      </c>
      <c r="D43" s="19" t="s">
        <v>60</v>
      </c>
      <c r="E43" s="21" t="s">
        <v>19</v>
      </c>
      <c r="F43" s="59">
        <v>8618208</v>
      </c>
      <c r="G43" s="53"/>
      <c r="H43" s="39"/>
      <c r="I43" s="39"/>
      <c r="J43" s="192"/>
      <c r="K43" s="53"/>
      <c r="L43" s="53"/>
      <c r="M43" s="66"/>
    </row>
    <row r="44" spans="1:13" outlineLevel="1" x14ac:dyDescent="0.25">
      <c r="A44" s="53" t="s">
        <v>47</v>
      </c>
      <c r="B44" s="39">
        <v>2010</v>
      </c>
      <c r="C44" s="19" t="s">
        <v>61</v>
      </c>
      <c r="D44" s="19" t="s">
        <v>62</v>
      </c>
      <c r="E44" s="21" t="s">
        <v>19</v>
      </c>
      <c r="F44" s="59">
        <v>36200718</v>
      </c>
      <c r="G44" s="53"/>
      <c r="H44" s="39"/>
      <c r="I44" s="39"/>
      <c r="J44" s="39"/>
      <c r="K44" s="53"/>
      <c r="L44" s="53"/>
      <c r="M44" s="66"/>
    </row>
    <row r="45" spans="1:13" outlineLevel="1" x14ac:dyDescent="0.25">
      <c r="A45" s="87" t="s">
        <v>47</v>
      </c>
      <c r="B45" s="106">
        <v>2017</v>
      </c>
      <c r="C45" s="21" t="s">
        <v>61</v>
      </c>
      <c r="D45" s="21" t="s">
        <v>72</v>
      </c>
      <c r="E45" s="21" t="s">
        <v>8</v>
      </c>
      <c r="F45" s="56">
        <v>20409000</v>
      </c>
      <c r="I45" s="39"/>
      <c r="J45" s="39"/>
      <c r="K45" s="53"/>
      <c r="L45" s="53"/>
      <c r="M45" s="66">
        <f>G46/F59</f>
        <v>9.0437861430375271E-2</v>
      </c>
    </row>
    <row r="46" spans="1:13" outlineLevel="1" x14ac:dyDescent="0.25">
      <c r="A46" s="87" t="s">
        <v>47</v>
      </c>
      <c r="B46" s="106">
        <v>2018</v>
      </c>
      <c r="C46" s="21" t="s">
        <v>61</v>
      </c>
      <c r="D46" s="21" t="s">
        <v>395</v>
      </c>
      <c r="E46" s="21" t="s">
        <v>19</v>
      </c>
      <c r="F46" s="56">
        <v>6164000</v>
      </c>
      <c r="G46" s="59">
        <f>SUM(F43:F46)</f>
        <v>71391926</v>
      </c>
      <c r="H46" s="39">
        <f>COUNTIF(C35:C57, "*Nielsen Builders, Inc.*")</f>
        <v>4</v>
      </c>
      <c r="I46" s="39"/>
      <c r="J46" s="39"/>
      <c r="K46" s="53"/>
      <c r="L46" s="53"/>
      <c r="M46" s="66"/>
    </row>
    <row r="47" spans="1:13" outlineLevel="1" x14ac:dyDescent="0.25">
      <c r="A47" s="53" t="s">
        <v>47</v>
      </c>
      <c r="B47" s="39">
        <v>2017</v>
      </c>
      <c r="C47" s="19" t="s">
        <v>69</v>
      </c>
      <c r="D47" s="19" t="s">
        <v>383</v>
      </c>
      <c r="E47" s="21" t="s">
        <v>8</v>
      </c>
      <c r="F47" s="59">
        <v>99000000</v>
      </c>
      <c r="I47" s="39"/>
      <c r="J47" s="39"/>
      <c r="K47" s="53"/>
      <c r="L47" s="53"/>
      <c r="M47" s="66">
        <f>G48/F59</f>
        <v>0.17102852915663075</v>
      </c>
    </row>
    <row r="48" spans="1:13" outlineLevel="1" x14ac:dyDescent="0.25">
      <c r="A48" s="53" t="s">
        <v>47</v>
      </c>
      <c r="B48" s="39">
        <v>2018</v>
      </c>
      <c r="C48" s="19" t="s">
        <v>69</v>
      </c>
      <c r="D48" s="19" t="s">
        <v>396</v>
      </c>
      <c r="E48" s="21" t="s">
        <v>8</v>
      </c>
      <c r="F48" s="59">
        <v>36010447</v>
      </c>
      <c r="G48" s="59">
        <f>SUM(F47:F48)</f>
        <v>135010447</v>
      </c>
      <c r="H48" s="39">
        <f>COUNTIF(C35:C57, "*S.B. Ballard Construction Company*")</f>
        <v>2</v>
      </c>
      <c r="I48" s="192"/>
      <c r="J48" s="39"/>
      <c r="K48" s="53"/>
      <c r="L48" s="53"/>
      <c r="M48" s="66"/>
    </row>
    <row r="49" spans="1:13" outlineLevel="1" x14ac:dyDescent="0.25">
      <c r="A49" s="53" t="s">
        <v>47</v>
      </c>
      <c r="B49" s="39">
        <v>2010</v>
      </c>
      <c r="C49" s="19" t="s">
        <v>52</v>
      </c>
      <c r="D49" s="19" t="s">
        <v>51</v>
      </c>
      <c r="E49" s="21" t="s">
        <v>8</v>
      </c>
      <c r="F49" s="59">
        <v>32926354</v>
      </c>
      <c r="G49" s="53"/>
      <c r="H49" s="39"/>
      <c r="I49" s="39"/>
      <c r="J49" s="39"/>
      <c r="K49" s="53"/>
      <c r="L49" s="53"/>
      <c r="M49" s="66"/>
    </row>
    <row r="50" spans="1:13" outlineLevel="1" x14ac:dyDescent="0.25">
      <c r="A50" s="53" t="s">
        <v>47</v>
      </c>
      <c r="B50" s="39">
        <v>2012</v>
      </c>
      <c r="C50" s="19" t="s">
        <v>52</v>
      </c>
      <c r="D50" s="19" t="s">
        <v>55</v>
      </c>
      <c r="E50" s="21" t="s">
        <v>8</v>
      </c>
      <c r="F50" s="59">
        <v>32646335</v>
      </c>
      <c r="G50" s="53"/>
      <c r="H50" s="39"/>
      <c r="I50" s="39"/>
      <c r="J50" s="39"/>
      <c r="K50" s="53"/>
      <c r="L50" s="53"/>
      <c r="M50" s="66"/>
    </row>
    <row r="51" spans="1:13" outlineLevel="1" x14ac:dyDescent="0.25">
      <c r="A51" s="53" t="s">
        <v>47</v>
      </c>
      <c r="B51" s="39">
        <v>2014</v>
      </c>
      <c r="C51" s="19" t="s">
        <v>52</v>
      </c>
      <c r="D51" s="19" t="s">
        <v>59</v>
      </c>
      <c r="E51" s="21" t="s">
        <v>8</v>
      </c>
      <c r="F51" s="59">
        <v>48789838</v>
      </c>
      <c r="G51" s="53"/>
      <c r="H51" s="39"/>
      <c r="I51" s="39"/>
      <c r="J51" s="39"/>
      <c r="K51" s="53"/>
      <c r="L51" s="53"/>
      <c r="M51" s="66"/>
    </row>
    <row r="52" spans="1:13" outlineLevel="1" x14ac:dyDescent="0.25">
      <c r="A52" s="53" t="s">
        <v>47</v>
      </c>
      <c r="B52" s="39">
        <v>2016</v>
      </c>
      <c r="C52" s="19" t="s">
        <v>52</v>
      </c>
      <c r="D52" s="19" t="s">
        <v>382</v>
      </c>
      <c r="E52" s="21" t="s">
        <v>8</v>
      </c>
      <c r="F52" s="59">
        <v>57312163</v>
      </c>
      <c r="G52" s="59">
        <f>SUM(F49:F52)</f>
        <v>171674690</v>
      </c>
      <c r="H52" s="39">
        <f>COUNTIF(C35:C56, "*Skanska USA Building*")</f>
        <v>4</v>
      </c>
      <c r="I52" s="39"/>
      <c r="J52" s="39"/>
      <c r="K52" s="53"/>
      <c r="L52" s="53"/>
      <c r="M52" s="66">
        <f>G52/F59</f>
        <v>0.21747405757511895</v>
      </c>
    </row>
    <row r="53" spans="1:13" outlineLevel="1" x14ac:dyDescent="0.25">
      <c r="A53" s="53" t="s">
        <v>47</v>
      </c>
      <c r="B53" s="39">
        <v>2012</v>
      </c>
      <c r="C53" s="19" t="s">
        <v>9</v>
      </c>
      <c r="D53" s="19" t="s">
        <v>54</v>
      </c>
      <c r="E53" s="21" t="s">
        <v>8</v>
      </c>
      <c r="F53" s="59">
        <v>43577799</v>
      </c>
      <c r="G53" s="53"/>
      <c r="H53" s="39"/>
      <c r="I53" s="39"/>
      <c r="J53" s="39"/>
      <c r="K53" s="53"/>
      <c r="L53" s="53"/>
      <c r="M53" s="66"/>
    </row>
    <row r="54" spans="1:13" outlineLevel="1" x14ac:dyDescent="0.25">
      <c r="A54" s="53" t="s">
        <v>47</v>
      </c>
      <c r="B54" s="39">
        <v>2012</v>
      </c>
      <c r="C54" s="19" t="s">
        <v>9</v>
      </c>
      <c r="D54" s="19" t="s">
        <v>68</v>
      </c>
      <c r="E54" s="21" t="s">
        <v>8</v>
      </c>
      <c r="F54" s="59">
        <v>7936662</v>
      </c>
      <c r="G54" s="53"/>
      <c r="H54" s="39"/>
      <c r="I54" s="39"/>
      <c r="J54" s="39"/>
      <c r="K54" s="53"/>
      <c r="L54" s="53"/>
      <c r="M54" s="66"/>
    </row>
    <row r="55" spans="1:13" outlineLevel="1" x14ac:dyDescent="0.25">
      <c r="A55" s="53" t="s">
        <v>47</v>
      </c>
      <c r="B55" s="39">
        <v>2016</v>
      </c>
      <c r="C55" s="19" t="s">
        <v>9</v>
      </c>
      <c r="D55" s="19" t="s">
        <v>65</v>
      </c>
      <c r="E55" s="21" t="s">
        <v>8</v>
      </c>
      <c r="F55" s="59">
        <v>19543856</v>
      </c>
      <c r="G55" s="53"/>
      <c r="H55" s="39"/>
      <c r="I55" s="39"/>
      <c r="J55" s="39"/>
      <c r="K55" s="53"/>
      <c r="L55" s="53"/>
      <c r="M55" s="66"/>
    </row>
    <row r="56" spans="1:13" outlineLevel="1" x14ac:dyDescent="0.25">
      <c r="A56" s="87" t="s">
        <v>47</v>
      </c>
      <c r="B56" s="106">
        <v>2017</v>
      </c>
      <c r="C56" s="21" t="s">
        <v>9</v>
      </c>
      <c r="D56" s="21" t="s">
        <v>70</v>
      </c>
      <c r="E56" s="21" t="s">
        <v>8</v>
      </c>
      <c r="F56" s="56">
        <v>26228125</v>
      </c>
      <c r="I56" s="39"/>
      <c r="J56" s="39"/>
      <c r="K56" s="53"/>
      <c r="L56" s="53"/>
    </row>
    <row r="57" spans="1:13" outlineLevel="1" x14ac:dyDescent="0.25">
      <c r="A57" s="87" t="s">
        <v>47</v>
      </c>
      <c r="B57" s="106">
        <v>2017</v>
      </c>
      <c r="C57" s="21" t="s">
        <v>9</v>
      </c>
      <c r="D57" s="21" t="s">
        <v>393</v>
      </c>
      <c r="E57" s="21" t="s">
        <v>8</v>
      </c>
      <c r="F57" s="56">
        <v>49740352</v>
      </c>
      <c r="G57" s="59">
        <f>SUM(F53:F57)</f>
        <v>147026794</v>
      </c>
      <c r="H57" s="39">
        <f>COUNTIF(C35:C57, "*W.M. Jordan Company, Inc.*")</f>
        <v>5</v>
      </c>
      <c r="I57" s="192"/>
      <c r="J57" s="39"/>
      <c r="K57" s="53"/>
      <c r="L57" s="53"/>
      <c r="M57" s="66">
        <f>G57/F59</f>
        <v>0.18625059677370703</v>
      </c>
    </row>
    <row r="58" spans="1:13" outlineLevel="1" x14ac:dyDescent="0.25"/>
    <row r="59" spans="1:13" s="2" customFormat="1" x14ac:dyDescent="0.25">
      <c r="A59" s="88" t="s">
        <v>326</v>
      </c>
      <c r="B59" s="40"/>
      <c r="C59" s="40"/>
      <c r="D59" s="40"/>
      <c r="E59" s="40"/>
      <c r="F59" s="58">
        <f>SUM(F34:F58)</f>
        <v>789403076</v>
      </c>
      <c r="G59" s="58">
        <f>SUM(G34:G58)</f>
        <v>789403076</v>
      </c>
      <c r="H59" s="40">
        <f>SUM(H34:H58)</f>
        <v>24</v>
      </c>
      <c r="I59" s="40">
        <f>COUNTIF(E34:E58, "*Competitive Bid*")</f>
        <v>5</v>
      </c>
      <c r="J59" s="40">
        <f>H59-I59</f>
        <v>19</v>
      </c>
      <c r="K59" s="67">
        <f>J59/H59</f>
        <v>0.79166666666666663</v>
      </c>
      <c r="L59" s="67">
        <f>(F39+F42+F44+F43+F46)/F59</f>
        <v>8.1771753825798363E-2</v>
      </c>
      <c r="M59" s="67">
        <f>SUM(M34:M58)</f>
        <v>1</v>
      </c>
    </row>
    <row r="60" spans="1:13" hidden="1" outlineLevel="1" x14ac:dyDescent="0.25">
      <c r="A60" s="52" t="s">
        <v>73</v>
      </c>
      <c r="B60" s="8">
        <v>2008</v>
      </c>
      <c r="C60" t="s">
        <v>75</v>
      </c>
      <c r="D60" t="s">
        <v>74</v>
      </c>
      <c r="E60" s="21" t="s">
        <v>19</v>
      </c>
      <c r="F60" s="57">
        <v>12143450</v>
      </c>
      <c r="G60" s="57">
        <f t="shared" ref="G60:G67" si="1">SUM(F60)</f>
        <v>12143450</v>
      </c>
      <c r="H60" s="8">
        <f>COUNTIF(C60:C71, "*Branch &amp; Associates, Inc.*")</f>
        <v>1</v>
      </c>
      <c r="M60" s="66">
        <f>G60/F72</f>
        <v>9.6727943110432979E-2</v>
      </c>
    </row>
    <row r="61" spans="1:13" hidden="1" outlineLevel="1" x14ac:dyDescent="0.25">
      <c r="A61" s="52" t="s">
        <v>73</v>
      </c>
      <c r="B61" s="8">
        <v>2013</v>
      </c>
      <c r="C61" t="s">
        <v>79</v>
      </c>
      <c r="D61" t="s">
        <v>78</v>
      </c>
      <c r="E61" s="21" t="s">
        <v>19</v>
      </c>
      <c r="F61" s="57">
        <v>6905660</v>
      </c>
      <c r="G61" s="57">
        <f t="shared" si="1"/>
        <v>6905660</v>
      </c>
      <c r="H61" s="8">
        <f>COUNTIF(C60:C71, "*C.L. Lewis &amp; Co., Inc.*")</f>
        <v>1</v>
      </c>
      <c r="M61" s="66">
        <f>G61/F72</f>
        <v>5.5006632186075009E-2</v>
      </c>
    </row>
    <row r="62" spans="1:13" hidden="1" outlineLevel="1" x14ac:dyDescent="0.25">
      <c r="A62" s="52" t="s">
        <v>73</v>
      </c>
      <c r="B62" s="8">
        <v>2009</v>
      </c>
      <c r="C62" t="s">
        <v>77</v>
      </c>
      <c r="D62" t="s">
        <v>76</v>
      </c>
      <c r="E62" s="21" t="s">
        <v>19</v>
      </c>
      <c r="F62" s="57">
        <v>16519000</v>
      </c>
      <c r="G62" s="57">
        <f t="shared" si="1"/>
        <v>16519000</v>
      </c>
      <c r="H62" s="8">
        <f>COUNTIF(C60:C71, "*Costello Construction, Inc.*")</f>
        <v>1</v>
      </c>
      <c r="M62" s="66">
        <f>G62/F72</f>
        <v>0.13158113157638418</v>
      </c>
    </row>
    <row r="63" spans="1:13" hidden="1" outlineLevel="1" x14ac:dyDescent="0.25">
      <c r="A63" s="53" t="s">
        <v>73</v>
      </c>
      <c r="B63" s="39">
        <v>2013</v>
      </c>
      <c r="C63" s="19" t="s">
        <v>81</v>
      </c>
      <c r="D63" s="19" t="s">
        <v>80</v>
      </c>
      <c r="E63" s="21" t="s">
        <v>19</v>
      </c>
      <c r="F63" s="59">
        <v>12325000</v>
      </c>
      <c r="G63" s="57">
        <f t="shared" si="1"/>
        <v>12325000</v>
      </c>
      <c r="H63" s="8">
        <f>COUNTIF(C60:C71, "*English Construction Co., Inc.*")</f>
        <v>1</v>
      </c>
      <c r="M63" s="66">
        <f>G63/F72</f>
        <v>9.8174069052541613E-2</v>
      </c>
    </row>
    <row r="64" spans="1:13" hidden="1" outlineLevel="1" x14ac:dyDescent="0.25">
      <c r="A64" s="53" t="s">
        <v>73</v>
      </c>
      <c r="B64" s="39">
        <v>2016</v>
      </c>
      <c r="C64" s="19" t="s">
        <v>85</v>
      </c>
      <c r="D64" s="19" t="s">
        <v>84</v>
      </c>
      <c r="E64" s="21" t="s">
        <v>19</v>
      </c>
      <c r="F64" s="59">
        <v>6556593</v>
      </c>
      <c r="G64" s="57">
        <f t="shared" si="1"/>
        <v>6556593</v>
      </c>
      <c r="H64" s="8">
        <f>COUNTIF(C60:C71, "*Hailey Builders, Inc.")</f>
        <v>1</v>
      </c>
      <c r="M64" s="66">
        <f>G64/F72</f>
        <v>5.2226159345347745E-2</v>
      </c>
    </row>
    <row r="65" spans="1:13" hidden="1" outlineLevel="1" x14ac:dyDescent="0.25">
      <c r="A65" s="53" t="s">
        <v>73</v>
      </c>
      <c r="B65" s="39">
        <v>2013</v>
      </c>
      <c r="C65" s="19" t="s">
        <v>83</v>
      </c>
      <c r="D65" s="19" t="s">
        <v>82</v>
      </c>
      <c r="E65" s="21" t="s">
        <v>19</v>
      </c>
      <c r="F65" s="59">
        <v>7933000</v>
      </c>
      <c r="G65" s="57">
        <f t="shared" si="1"/>
        <v>7933000</v>
      </c>
      <c r="H65" s="8">
        <f>COUNTIF(C60:C71, "*J.E. Jamerson &amp; Sons*")</f>
        <v>1</v>
      </c>
      <c r="M65" s="66">
        <f>G65/F72</f>
        <v>6.3189849070491896E-2</v>
      </c>
    </row>
    <row r="66" spans="1:13" hidden="1" outlineLevel="1" x14ac:dyDescent="0.25">
      <c r="A66" s="53" t="s">
        <v>73</v>
      </c>
      <c r="B66" s="39">
        <v>2013</v>
      </c>
      <c r="C66" s="19" t="s">
        <v>52</v>
      </c>
      <c r="D66" s="19" t="s">
        <v>86</v>
      </c>
      <c r="E66" s="21" t="s">
        <v>8</v>
      </c>
      <c r="F66" s="59">
        <v>28635950</v>
      </c>
      <c r="G66" s="57">
        <f t="shared" si="1"/>
        <v>28635950</v>
      </c>
      <c r="H66" s="8">
        <f>COUNTIF(C60:C71, "*Skanska USA Building*")</f>
        <v>1</v>
      </c>
      <c r="M66" s="66">
        <f>G66/F72</f>
        <v>0.22809799048155205</v>
      </c>
    </row>
    <row r="67" spans="1:13" hidden="1" outlineLevel="1" x14ac:dyDescent="0.25">
      <c r="A67" s="87" t="s">
        <v>73</v>
      </c>
      <c r="B67" s="106">
        <v>2017</v>
      </c>
      <c r="C67" s="21" t="s">
        <v>88</v>
      </c>
      <c r="D67" s="21" t="s">
        <v>87</v>
      </c>
      <c r="E67" s="21" t="s">
        <v>19</v>
      </c>
      <c r="F67" s="56">
        <v>5192800</v>
      </c>
      <c r="G67" s="57">
        <f t="shared" si="1"/>
        <v>5192800</v>
      </c>
      <c r="H67" s="8">
        <f>COUNTIF(C60:C71, "*WACO, Inc.*")</f>
        <v>1</v>
      </c>
      <c r="M67" s="66">
        <f>G67/F72</f>
        <v>4.1362945701909785E-2</v>
      </c>
    </row>
    <row r="68" spans="1:13" hidden="1" outlineLevel="1" x14ac:dyDescent="0.25">
      <c r="A68" s="87" t="s">
        <v>73</v>
      </c>
      <c r="B68" s="106">
        <v>2018</v>
      </c>
      <c r="C68" s="21" t="s">
        <v>424</v>
      </c>
      <c r="D68" s="21" t="s">
        <v>422</v>
      </c>
      <c r="E68" s="21" t="s">
        <v>19</v>
      </c>
      <c r="F68" s="56">
        <v>7858846</v>
      </c>
      <c r="G68" s="57"/>
      <c r="M68" s="66"/>
    </row>
    <row r="69" spans="1:13" hidden="1" outlineLevel="1" x14ac:dyDescent="0.25">
      <c r="A69" s="87" t="s">
        <v>73</v>
      </c>
      <c r="B69" s="106">
        <v>2018</v>
      </c>
      <c r="C69" s="21" t="s">
        <v>424</v>
      </c>
      <c r="D69" s="21" t="s">
        <v>423</v>
      </c>
      <c r="E69" s="21" t="s">
        <v>19</v>
      </c>
      <c r="F69" s="56">
        <v>16279217</v>
      </c>
      <c r="G69" s="57">
        <f>SUM(F68:F69)</f>
        <v>24138063</v>
      </c>
      <c r="H69" s="8">
        <f>COUNTIF(C60:C71, "*Jamerson-Lewis Construction, Inc.*")</f>
        <v>2</v>
      </c>
      <c r="M69" s="66">
        <f>G69/F72</f>
        <v>0.19227033377335495</v>
      </c>
    </row>
    <row r="70" spans="1:13" hidden="1" outlineLevel="1" x14ac:dyDescent="0.25">
      <c r="A70" s="87" t="s">
        <v>73</v>
      </c>
      <c r="B70" s="106">
        <v>2020</v>
      </c>
      <c r="C70" s="21" t="s">
        <v>426</v>
      </c>
      <c r="D70" s="21" t="s">
        <v>425</v>
      </c>
      <c r="E70" s="21" t="s">
        <v>19</v>
      </c>
      <c r="F70" s="56">
        <v>5192800</v>
      </c>
      <c r="G70" s="57">
        <f>SUM(F70)</f>
        <v>5192800</v>
      </c>
      <c r="H70" s="8">
        <f>COUNTIF(C60:C71, "*Faulconer Construction Company, Inc.*")</f>
        <v>1</v>
      </c>
      <c r="M70" s="66">
        <f>G70/F72</f>
        <v>4.1362945701909785E-2</v>
      </c>
    </row>
    <row r="71" spans="1:13" hidden="1" outlineLevel="1" x14ac:dyDescent="0.25">
      <c r="A71" s="87"/>
      <c r="B71" s="106"/>
      <c r="C71" s="21"/>
      <c r="D71" s="21"/>
      <c r="E71" s="21"/>
      <c r="F71" s="56"/>
      <c r="G71" s="57"/>
      <c r="M71" s="66"/>
    </row>
    <row r="72" spans="1:13" s="8" customFormat="1" collapsed="1" x14ac:dyDescent="0.25">
      <c r="A72" s="88" t="s">
        <v>327</v>
      </c>
      <c r="B72" s="40"/>
      <c r="C72" s="40"/>
      <c r="D72" s="40"/>
      <c r="E72" s="40"/>
      <c r="F72" s="58">
        <f>SUM(F60:F71)</f>
        <v>125542316</v>
      </c>
      <c r="G72" s="58">
        <f>SUM(G60:G71)</f>
        <v>125542316</v>
      </c>
      <c r="H72" s="40">
        <f>SUM(H60:H71)</f>
        <v>11</v>
      </c>
      <c r="I72" s="40">
        <f>COUNTIF(E60:E71, "*Competitive Bid*")</f>
        <v>10</v>
      </c>
      <c r="J72" s="40">
        <f>H72-I72</f>
        <v>1</v>
      </c>
      <c r="K72" s="67">
        <f>J72/H72</f>
        <v>9.0909090909090912E-2</v>
      </c>
      <c r="L72" s="67">
        <f>(F60+F61+F62+F63+F64+F65+F67+F68+F69+F70)/F72</f>
        <v>0.7719020095184479</v>
      </c>
      <c r="M72" s="67">
        <f>SUM(M60:M71)</f>
        <v>1</v>
      </c>
    </row>
    <row r="73" spans="1:13" hidden="1" outlineLevel="1" x14ac:dyDescent="0.25">
      <c r="A73" s="53" t="s">
        <v>89</v>
      </c>
      <c r="B73" s="39">
        <v>2015</v>
      </c>
      <c r="C73" s="19" t="s">
        <v>69</v>
      </c>
      <c r="D73" s="19" t="s">
        <v>90</v>
      </c>
      <c r="E73" s="21" t="s">
        <v>8</v>
      </c>
      <c r="F73" s="59">
        <v>60584000</v>
      </c>
      <c r="M73" s="66"/>
    </row>
    <row r="74" spans="1:13" hidden="1" outlineLevel="1" x14ac:dyDescent="0.25">
      <c r="A74" s="53" t="s">
        <v>89</v>
      </c>
      <c r="B74" s="39">
        <v>2010</v>
      </c>
      <c r="C74" s="19" t="s">
        <v>69</v>
      </c>
      <c r="D74" s="19" t="s">
        <v>91</v>
      </c>
      <c r="E74" s="21" t="s">
        <v>8</v>
      </c>
      <c r="F74" s="59">
        <v>37079649</v>
      </c>
      <c r="M74" s="66"/>
    </row>
    <row r="75" spans="1:13" hidden="1" outlineLevel="1" x14ac:dyDescent="0.25">
      <c r="A75" s="87" t="s">
        <v>89</v>
      </c>
      <c r="B75" s="106">
        <v>2013</v>
      </c>
      <c r="C75" s="21" t="s">
        <v>69</v>
      </c>
      <c r="D75" s="21" t="s">
        <v>93</v>
      </c>
      <c r="E75" s="21" t="s">
        <v>8</v>
      </c>
      <c r="F75" s="56">
        <v>37374141</v>
      </c>
    </row>
    <row r="76" spans="1:13" hidden="1" outlineLevel="1" x14ac:dyDescent="0.25">
      <c r="A76" s="87" t="s">
        <v>89</v>
      </c>
      <c r="B76" s="106">
        <v>2021</v>
      </c>
      <c r="C76" s="21" t="s">
        <v>69</v>
      </c>
      <c r="D76" s="21" t="s">
        <v>376</v>
      </c>
      <c r="E76" s="21" t="s">
        <v>33</v>
      </c>
      <c r="F76" s="56">
        <v>50619880</v>
      </c>
      <c r="G76" s="57">
        <f>SUM(F73:F76)</f>
        <v>185657670</v>
      </c>
      <c r="H76" s="8">
        <f>COUNTIF(C73:C77, "*S.B. Ballard Construction Company*")</f>
        <v>4</v>
      </c>
      <c r="M76" s="66">
        <f>G76/F79</f>
        <v>0.82775327397894249</v>
      </c>
    </row>
    <row r="77" spans="1:13" hidden="1" outlineLevel="1" x14ac:dyDescent="0.25">
      <c r="A77" s="87" t="s">
        <v>89</v>
      </c>
      <c r="B77" s="106">
        <v>2010</v>
      </c>
      <c r="C77" s="21" t="s">
        <v>9</v>
      </c>
      <c r="D77" s="21" t="s">
        <v>92</v>
      </c>
      <c r="E77" s="21" t="s">
        <v>8</v>
      </c>
      <c r="F77" s="56">
        <v>38633403</v>
      </c>
      <c r="G77" s="57">
        <f>SUM(F77)</f>
        <v>38633403</v>
      </c>
      <c r="H77" s="8">
        <f>COUNTIF(C74:C77, "*W.M. Jordan Company, Inc.*")</f>
        <v>1</v>
      </c>
      <c r="M77" s="66">
        <f>G77/F79</f>
        <v>0.17224672602105748</v>
      </c>
    </row>
    <row r="78" spans="1:13" hidden="1" outlineLevel="1" x14ac:dyDescent="0.25">
      <c r="A78" s="87"/>
      <c r="B78" s="106"/>
      <c r="C78" s="21"/>
      <c r="D78" s="21"/>
      <c r="E78" s="21"/>
      <c r="F78" s="56"/>
      <c r="G78" s="57"/>
      <c r="M78" s="66"/>
    </row>
    <row r="79" spans="1:13" s="8" customFormat="1" collapsed="1" x14ac:dyDescent="0.25">
      <c r="A79" s="88" t="s">
        <v>328</v>
      </c>
      <c r="B79" s="40"/>
      <c r="C79" s="40"/>
      <c r="D79" s="40"/>
      <c r="E79" s="40"/>
      <c r="F79" s="58">
        <f>SUM(F73:F78)</f>
        <v>224291073</v>
      </c>
      <c r="G79" s="58">
        <f>SUM(G73:G78)</f>
        <v>224291073</v>
      </c>
      <c r="H79" s="40">
        <f>SUM(H73:H78)</f>
        <v>5</v>
      </c>
      <c r="I79" s="40">
        <f>COUNTIF(E73:E78, "*Competitive Bid*")</f>
        <v>0</v>
      </c>
      <c r="J79" s="40">
        <f>H79-I79</f>
        <v>5</v>
      </c>
      <c r="K79" s="67">
        <f>J79/H79</f>
        <v>1</v>
      </c>
      <c r="L79" s="67">
        <f>(0)/F79</f>
        <v>0</v>
      </c>
      <c r="M79" s="67">
        <f>SUM(M73:M78)</f>
        <v>1</v>
      </c>
    </row>
    <row r="80" spans="1:13" hidden="1" outlineLevel="1" x14ac:dyDescent="0.25">
      <c r="A80" s="87" t="s">
        <v>94</v>
      </c>
      <c r="B80" s="106">
        <v>2015</v>
      </c>
      <c r="C80" s="21" t="s">
        <v>103</v>
      </c>
      <c r="D80" s="21" t="s">
        <v>102</v>
      </c>
      <c r="E80" s="21" t="s">
        <v>19</v>
      </c>
      <c r="F80" s="56">
        <v>6592833</v>
      </c>
      <c r="G80" s="57">
        <f>SUM(F80)</f>
        <v>6592833</v>
      </c>
      <c r="H80" s="8">
        <f>COUNTIF(C80:C90, "*P. G. Harris Construction Co.*")</f>
        <v>1</v>
      </c>
      <c r="M80" s="66">
        <f>G80/F92</f>
        <v>2.0153395280482881E-2</v>
      </c>
    </row>
    <row r="81" spans="1:13" hidden="1" outlineLevel="1" x14ac:dyDescent="0.25">
      <c r="A81" s="53" t="s">
        <v>94</v>
      </c>
      <c r="B81" s="39">
        <v>2013</v>
      </c>
      <c r="C81" s="19" t="s">
        <v>69</v>
      </c>
      <c r="D81" s="19" t="s">
        <v>96</v>
      </c>
      <c r="E81" s="19" t="s">
        <v>8</v>
      </c>
      <c r="F81" s="59">
        <v>13000000</v>
      </c>
      <c r="M81" s="66"/>
    </row>
    <row r="82" spans="1:13" hidden="1" outlineLevel="1" x14ac:dyDescent="0.25">
      <c r="A82" s="52" t="s">
        <v>94</v>
      </c>
      <c r="B82" s="8">
        <v>2014</v>
      </c>
      <c r="C82" t="s">
        <v>69</v>
      </c>
      <c r="D82" t="s">
        <v>97</v>
      </c>
      <c r="E82" t="s">
        <v>8</v>
      </c>
      <c r="F82" s="57">
        <v>6000000</v>
      </c>
      <c r="M82" s="66"/>
    </row>
    <row r="83" spans="1:13" hidden="1" outlineLevel="1" x14ac:dyDescent="0.25">
      <c r="A83" s="52" t="s">
        <v>94</v>
      </c>
      <c r="B83" s="8">
        <v>2014</v>
      </c>
      <c r="C83" t="s">
        <v>69</v>
      </c>
      <c r="D83" t="s">
        <v>98</v>
      </c>
      <c r="E83" t="s">
        <v>8</v>
      </c>
      <c r="F83" s="57">
        <v>42600000</v>
      </c>
      <c r="M83" s="66">
        <f>G84/F92</f>
        <v>0.37052020981582334</v>
      </c>
    </row>
    <row r="84" spans="1:13" hidden="1" outlineLevel="1" x14ac:dyDescent="0.25">
      <c r="A84" s="52" t="s">
        <v>94</v>
      </c>
      <c r="B84" s="8">
        <v>2017</v>
      </c>
      <c r="C84" t="s">
        <v>69</v>
      </c>
      <c r="D84" t="s">
        <v>414</v>
      </c>
      <c r="E84" t="s">
        <v>8</v>
      </c>
      <c r="F84" s="57">
        <v>59609247</v>
      </c>
      <c r="G84" s="57">
        <f>SUM(F81:F84)</f>
        <v>121209247</v>
      </c>
      <c r="H84" s="8">
        <f>COUNTIF(C80:C90, "*S.B. Ballard Construction Company*")</f>
        <v>4</v>
      </c>
      <c r="M84" s="66"/>
    </row>
    <row r="85" spans="1:13" hidden="1" outlineLevel="1" x14ac:dyDescent="0.25">
      <c r="A85" s="52" t="s">
        <v>94</v>
      </c>
      <c r="B85" s="8">
        <v>2011</v>
      </c>
      <c r="C85" t="s">
        <v>52</v>
      </c>
      <c r="D85" t="s">
        <v>95</v>
      </c>
      <c r="E85" t="s">
        <v>8</v>
      </c>
      <c r="F85" s="57">
        <v>14289497</v>
      </c>
      <c r="M85" s="66"/>
    </row>
    <row r="86" spans="1:13" hidden="1" outlineLevel="1" x14ac:dyDescent="0.25">
      <c r="A86" s="52" t="s">
        <v>94</v>
      </c>
      <c r="B86" s="8">
        <v>2012</v>
      </c>
      <c r="C86" t="s">
        <v>52</v>
      </c>
      <c r="D86" t="s">
        <v>100</v>
      </c>
      <c r="E86" t="s">
        <v>8</v>
      </c>
      <c r="F86" s="57">
        <v>17000000</v>
      </c>
      <c r="G86" s="57">
        <f>SUM(F85:F86)</f>
        <v>31289497</v>
      </c>
      <c r="H86" s="8">
        <f>COUNTIF(C80:C90, "*Skanska USA Building*")</f>
        <v>2</v>
      </c>
      <c r="M86" s="66">
        <f>G86/F92</f>
        <v>9.5647743719351502E-2</v>
      </c>
    </row>
    <row r="87" spans="1:13" hidden="1" outlineLevel="1" x14ac:dyDescent="0.25">
      <c r="A87" s="52" t="s">
        <v>94</v>
      </c>
      <c r="B87" s="8">
        <v>2008</v>
      </c>
      <c r="C87" t="s">
        <v>9</v>
      </c>
      <c r="D87" t="s">
        <v>99</v>
      </c>
      <c r="E87" t="s">
        <v>8</v>
      </c>
      <c r="F87" s="57">
        <v>51016300</v>
      </c>
      <c r="M87" s="66"/>
    </row>
    <row r="88" spans="1:13" hidden="1" outlineLevel="1" x14ac:dyDescent="0.25">
      <c r="A88" s="54" t="s">
        <v>94</v>
      </c>
      <c r="B88" s="14">
        <v>2012</v>
      </c>
      <c r="C88" s="6" t="s">
        <v>9</v>
      </c>
      <c r="D88" s="6" t="s">
        <v>101</v>
      </c>
      <c r="E88" s="6" t="s">
        <v>19</v>
      </c>
      <c r="F88" s="60">
        <v>9000000</v>
      </c>
      <c r="M88" s="66">
        <f>G90/F92</f>
        <v>0.51367865118434231</v>
      </c>
    </row>
    <row r="89" spans="1:13" hidden="1" outlineLevel="1" x14ac:dyDescent="0.25">
      <c r="A89" s="54" t="s">
        <v>94</v>
      </c>
      <c r="B89" s="14">
        <v>2017</v>
      </c>
      <c r="C89" s="21" t="s">
        <v>9</v>
      </c>
      <c r="D89" s="21" t="s">
        <v>415</v>
      </c>
      <c r="E89" s="21" t="s">
        <v>8</v>
      </c>
      <c r="F89" s="60">
        <v>47788191</v>
      </c>
      <c r="G89" s="57"/>
      <c r="M89" s="66"/>
    </row>
    <row r="90" spans="1:13" hidden="1" outlineLevel="1" x14ac:dyDescent="0.25">
      <c r="A90" s="54" t="s">
        <v>94</v>
      </c>
      <c r="B90" s="14">
        <v>2017</v>
      </c>
      <c r="C90" s="21" t="s">
        <v>9</v>
      </c>
      <c r="D90" s="21" t="s">
        <v>413</v>
      </c>
      <c r="E90" s="21" t="s">
        <v>8</v>
      </c>
      <c r="F90" s="60">
        <v>60236552</v>
      </c>
      <c r="G90" s="57">
        <f>SUM(F87:F90)</f>
        <v>168041043</v>
      </c>
      <c r="H90" s="8">
        <f>COUNTIF(C80:C90, "*W.M. Jordan Company, Inc.*")</f>
        <v>4</v>
      </c>
      <c r="M90" s="66"/>
    </row>
    <row r="91" spans="1:13" hidden="1" outlineLevel="1" x14ac:dyDescent="0.25">
      <c r="A91" s="54"/>
      <c r="B91" s="14"/>
      <c r="C91" s="6"/>
      <c r="D91" s="6"/>
      <c r="E91" s="6"/>
      <c r="F91" s="60"/>
      <c r="G91" s="57"/>
      <c r="M91" s="66"/>
    </row>
    <row r="92" spans="1:13" s="8" customFormat="1" collapsed="1" x14ac:dyDescent="0.25">
      <c r="A92" s="88" t="s">
        <v>331</v>
      </c>
      <c r="B92" s="40"/>
      <c r="C92" s="40"/>
      <c r="D92" s="40"/>
      <c r="E92" s="40"/>
      <c r="F92" s="58">
        <f>SUM(F80:F91)</f>
        <v>327132620</v>
      </c>
      <c r="G92" s="58">
        <f>SUM(G80:G91)</f>
        <v>327132620</v>
      </c>
      <c r="H92" s="40">
        <f>SUM(H80:H91)</f>
        <v>11</v>
      </c>
      <c r="I92" s="40">
        <f>COUNTIF(E80:E91, "*Competitive Bid*")</f>
        <v>2</v>
      </c>
      <c r="J92" s="40">
        <f>H92-I92</f>
        <v>9</v>
      </c>
      <c r="K92" s="67">
        <f>J92/H92</f>
        <v>0.81818181818181823</v>
      </c>
      <c r="L92" s="67">
        <f>(F80+F88)/F92</f>
        <v>4.766517322546434E-2</v>
      </c>
      <c r="M92" s="67">
        <f>SUM(M80:M91)</f>
        <v>1</v>
      </c>
    </row>
    <row r="93" spans="1:13" hidden="1" outlineLevel="1" x14ac:dyDescent="0.25">
      <c r="A93" s="52" t="s">
        <v>104</v>
      </c>
      <c r="B93" s="8">
        <v>2018</v>
      </c>
      <c r="C93" t="s">
        <v>75</v>
      </c>
      <c r="D93" t="s">
        <v>371</v>
      </c>
      <c r="E93" s="21" t="s">
        <v>8</v>
      </c>
      <c r="F93" s="57">
        <v>22708530</v>
      </c>
      <c r="G93" s="57">
        <f>SUM(F93)</f>
        <v>22708530</v>
      </c>
      <c r="H93" s="8">
        <f>COUNTIF(C75:E93,"*Branch &amp; Associates, Inc.*")</f>
        <v>1</v>
      </c>
      <c r="M93" s="66">
        <f>G93/F107</f>
        <v>7.1919933509375339E-2</v>
      </c>
    </row>
    <row r="94" spans="1:13" hidden="1" outlineLevel="1" x14ac:dyDescent="0.25">
      <c r="A94" s="52" t="s">
        <v>104</v>
      </c>
      <c r="B94" s="8">
        <v>2012</v>
      </c>
      <c r="C94" t="s">
        <v>112</v>
      </c>
      <c r="D94" t="s">
        <v>111</v>
      </c>
      <c r="E94" t="s">
        <v>19</v>
      </c>
      <c r="F94" s="57">
        <v>7800000</v>
      </c>
      <c r="M94" s="66"/>
    </row>
    <row r="95" spans="1:13" hidden="1" outlineLevel="1" x14ac:dyDescent="0.25">
      <c r="A95" s="52" t="s">
        <v>104</v>
      </c>
      <c r="B95" s="8">
        <v>2014</v>
      </c>
      <c r="C95" t="s">
        <v>112</v>
      </c>
      <c r="D95" t="s">
        <v>113</v>
      </c>
      <c r="E95" t="s">
        <v>19</v>
      </c>
      <c r="F95" s="57">
        <v>23275715</v>
      </c>
      <c r="M95" s="66"/>
    </row>
    <row r="96" spans="1:13" hidden="1" outlineLevel="1" x14ac:dyDescent="0.25">
      <c r="A96" s="53" t="s">
        <v>104</v>
      </c>
      <c r="B96" s="39">
        <v>2016</v>
      </c>
      <c r="C96" s="19" t="s">
        <v>112</v>
      </c>
      <c r="D96" s="19" t="s">
        <v>117</v>
      </c>
      <c r="E96" s="19" t="s">
        <v>33</v>
      </c>
      <c r="F96" s="59">
        <v>5643936</v>
      </c>
      <c r="M96" s="66"/>
    </row>
    <row r="97" spans="1:13" hidden="1" outlineLevel="1" x14ac:dyDescent="0.25">
      <c r="A97" s="87" t="s">
        <v>104</v>
      </c>
      <c r="B97" s="106">
        <v>2016</v>
      </c>
      <c r="C97" s="21" t="s">
        <v>112</v>
      </c>
      <c r="D97" s="21" t="s">
        <v>118</v>
      </c>
      <c r="E97" s="21" t="s">
        <v>33</v>
      </c>
      <c r="F97" s="56">
        <v>6380309</v>
      </c>
      <c r="G97" s="57">
        <f>SUM(F94:F97)</f>
        <v>43099960</v>
      </c>
      <c r="H97" s="8">
        <f>COUNTIF(C94:C105, "*G&amp;H Contracting*")</f>
        <v>4</v>
      </c>
      <c r="M97" s="66">
        <f>G97/F107</f>
        <v>0.13650140530702501</v>
      </c>
    </row>
    <row r="98" spans="1:13" hidden="1" outlineLevel="1" x14ac:dyDescent="0.25">
      <c r="A98" s="52" t="s">
        <v>104</v>
      </c>
      <c r="B98" s="8">
        <v>2014</v>
      </c>
      <c r="C98" t="s">
        <v>115</v>
      </c>
      <c r="D98" t="s">
        <v>114</v>
      </c>
      <c r="E98" t="s">
        <v>19</v>
      </c>
      <c r="F98" s="57">
        <v>6424000</v>
      </c>
      <c r="G98" s="57">
        <f>SUM(F98)</f>
        <v>6424000</v>
      </c>
      <c r="H98" s="8">
        <f>COUNTIF(C94:C105, "*Price Building &amp; MB Contracting*")</f>
        <v>1</v>
      </c>
      <c r="M98" s="66">
        <f>G98/F107</f>
        <v>2.0345379153306142E-2</v>
      </c>
    </row>
    <row r="99" spans="1:13" hidden="1" outlineLevel="1" x14ac:dyDescent="0.25">
      <c r="A99" s="52" t="s">
        <v>104</v>
      </c>
      <c r="B99" s="8">
        <v>2014</v>
      </c>
      <c r="C99" t="s">
        <v>69</v>
      </c>
      <c r="D99" t="s">
        <v>108</v>
      </c>
      <c r="E99" t="s">
        <v>8</v>
      </c>
      <c r="F99" s="57">
        <v>40214071</v>
      </c>
      <c r="G99" s="57">
        <f>SUM(F99)</f>
        <v>40214071</v>
      </c>
      <c r="H99" s="8">
        <f>COUNTIF(C94:C105, "*S.B. Ballard Construction Company*")</f>
        <v>1</v>
      </c>
      <c r="M99" s="66">
        <f>G99/F107</f>
        <v>0.12736153826167079</v>
      </c>
    </row>
    <row r="100" spans="1:13" hidden="1" outlineLevel="1" x14ac:dyDescent="0.25">
      <c r="A100" s="52" t="s">
        <v>104</v>
      </c>
      <c r="B100" s="8">
        <v>2021</v>
      </c>
      <c r="C100" s="43" t="s">
        <v>52</v>
      </c>
      <c r="D100" s="21" t="s">
        <v>372</v>
      </c>
      <c r="E100" t="s">
        <v>8</v>
      </c>
      <c r="F100" s="57">
        <v>80500000</v>
      </c>
      <c r="G100" s="57"/>
      <c r="M100" s="66"/>
    </row>
    <row r="101" spans="1:13" hidden="1" outlineLevel="1" x14ac:dyDescent="0.25">
      <c r="A101" s="52" t="s">
        <v>104</v>
      </c>
      <c r="B101" s="8">
        <v>2013</v>
      </c>
      <c r="C101" t="s">
        <v>52</v>
      </c>
      <c r="D101" t="s">
        <v>107</v>
      </c>
      <c r="E101" t="s">
        <v>8</v>
      </c>
      <c r="F101" s="57">
        <v>27750000</v>
      </c>
      <c r="G101" s="57">
        <f>SUM(F100:F101)</f>
        <v>108250000</v>
      </c>
      <c r="H101" s="8">
        <f>COUNTIF(C94:C105, "*Skanska USA Building*")</f>
        <v>2</v>
      </c>
      <c r="M101" s="66">
        <f>G101/F107</f>
        <v>0.34283737443110057</v>
      </c>
    </row>
    <row r="102" spans="1:13" hidden="1" outlineLevel="1" x14ac:dyDescent="0.25">
      <c r="A102" s="52" t="s">
        <v>104</v>
      </c>
      <c r="B102" s="8">
        <v>2011</v>
      </c>
      <c r="C102" t="s">
        <v>110</v>
      </c>
      <c r="D102" t="s">
        <v>109</v>
      </c>
      <c r="E102" t="s">
        <v>19</v>
      </c>
      <c r="F102" s="57">
        <v>10280000</v>
      </c>
      <c r="M102" s="66"/>
    </row>
    <row r="103" spans="1:13" hidden="1" outlineLevel="1" x14ac:dyDescent="0.25">
      <c r="A103" s="52" t="s">
        <v>104</v>
      </c>
      <c r="B103" s="8">
        <v>2010</v>
      </c>
      <c r="C103" t="s">
        <v>110</v>
      </c>
      <c r="D103" t="s">
        <v>116</v>
      </c>
      <c r="E103" t="s">
        <v>33</v>
      </c>
      <c r="F103" s="57">
        <v>8481000</v>
      </c>
      <c r="G103" s="57">
        <f>SUM(F102:F103)</f>
        <v>18761000</v>
      </c>
      <c r="H103" s="8">
        <f>COUNTIF(C94:C105, "*Thor, Inc.*")</f>
        <v>2</v>
      </c>
      <c r="M103" s="66">
        <f>G103/F107</f>
        <v>5.9417755027269079E-2</v>
      </c>
    </row>
    <row r="104" spans="1:13" hidden="1" outlineLevel="1" x14ac:dyDescent="0.25">
      <c r="A104" s="52" t="s">
        <v>104</v>
      </c>
      <c r="B104" s="8">
        <v>2012</v>
      </c>
      <c r="C104" t="s">
        <v>9</v>
      </c>
      <c r="D104" t="s">
        <v>106</v>
      </c>
      <c r="E104" t="s">
        <v>8</v>
      </c>
      <c r="F104" s="57">
        <v>40632041</v>
      </c>
      <c r="G104" s="57">
        <f>SUM(F104)</f>
        <v>40632041</v>
      </c>
      <c r="H104" s="8">
        <f>COUNTIF(C94:C105, "*W.M. Jordan Company, Inc.*")</f>
        <v>1</v>
      </c>
      <c r="M104" s="66">
        <f>G104/F107</f>
        <v>0.12868528641308849</v>
      </c>
    </row>
    <row r="105" spans="1:13" hidden="1" outlineLevel="1" x14ac:dyDescent="0.25">
      <c r="A105" s="52" t="s">
        <v>104</v>
      </c>
      <c r="B105" s="8">
        <v>2010</v>
      </c>
      <c r="C105" t="s">
        <v>11</v>
      </c>
      <c r="D105" t="s">
        <v>105</v>
      </c>
      <c r="E105" t="s">
        <v>8</v>
      </c>
      <c r="F105" s="57">
        <v>35657770</v>
      </c>
      <c r="G105" s="57">
        <f>SUM(F105)</f>
        <v>35657770</v>
      </c>
      <c r="H105" s="8">
        <f>COUNTIF(C94:C105, "*Whiting-Turner Contracting Co*")</f>
        <v>1</v>
      </c>
      <c r="M105" s="66">
        <f>G105/F107</f>
        <v>0.11293132789716458</v>
      </c>
    </row>
    <row r="106" spans="1:13" hidden="1" outlineLevel="1" x14ac:dyDescent="0.25">
      <c r="G106" s="57"/>
    </row>
    <row r="107" spans="1:13" s="8" customFormat="1" collapsed="1" x14ac:dyDescent="0.25">
      <c r="A107" s="88" t="s">
        <v>332</v>
      </c>
      <c r="B107" s="40"/>
      <c r="C107" s="40"/>
      <c r="D107" s="40"/>
      <c r="E107" s="40"/>
      <c r="F107" s="58">
        <f>SUM(F93:F106)</f>
        <v>315747372</v>
      </c>
      <c r="G107" s="58">
        <f>SUM(G93:G106)</f>
        <v>315747372</v>
      </c>
      <c r="H107" s="40">
        <f>SUM(H93:H106)</f>
        <v>13</v>
      </c>
      <c r="I107" s="40">
        <f>COUNTIF(E93:E106, "*Competitive Bid*")</f>
        <v>4</v>
      </c>
      <c r="J107" s="40">
        <f>H107-I107</f>
        <v>9</v>
      </c>
      <c r="K107" s="67">
        <f>J107/H107</f>
        <v>0.69230769230769229</v>
      </c>
      <c r="L107" s="67">
        <f>(F94+F95+F98+F102)/F107</f>
        <v>0.15132260546573922</v>
      </c>
      <c r="M107" s="67">
        <f>SUM(M93:M106)</f>
        <v>1</v>
      </c>
    </row>
    <row r="108" spans="1:13" hidden="1" outlineLevel="1" x14ac:dyDescent="0.25">
      <c r="A108" s="54" t="s">
        <v>119</v>
      </c>
      <c r="B108" s="14">
        <v>2009</v>
      </c>
      <c r="C108" s="6" t="s">
        <v>127</v>
      </c>
      <c r="D108" s="6" t="s">
        <v>126</v>
      </c>
      <c r="E108" s="6" t="s">
        <v>19</v>
      </c>
      <c r="F108" s="60">
        <v>11146300</v>
      </c>
      <c r="G108" s="57">
        <f>SUM(F108)</f>
        <v>11146300</v>
      </c>
      <c r="H108" s="8">
        <f>COUNTIF(C108:C116, "*A.D. Whittaker Construction Corp.*")</f>
        <v>1</v>
      </c>
      <c r="M108" s="66">
        <f>G108/F119</f>
        <v>5.2149484865757524E-2</v>
      </c>
    </row>
    <row r="109" spans="1:13" hidden="1" outlineLevel="1" x14ac:dyDescent="0.25">
      <c r="A109" s="54" t="s">
        <v>119</v>
      </c>
      <c r="B109" s="14">
        <v>2010</v>
      </c>
      <c r="C109" s="6" t="s">
        <v>49</v>
      </c>
      <c r="D109" s="6" t="s">
        <v>128</v>
      </c>
      <c r="E109" s="6" t="s">
        <v>44</v>
      </c>
      <c r="F109" s="60">
        <v>44642328</v>
      </c>
      <c r="M109" s="66">
        <f>G110/F119</f>
        <v>0.32246569378165713</v>
      </c>
    </row>
    <row r="110" spans="1:13" hidden="1" outlineLevel="1" x14ac:dyDescent="0.25">
      <c r="A110" s="54" t="s">
        <v>119</v>
      </c>
      <c r="B110" s="14">
        <v>2017</v>
      </c>
      <c r="C110" s="21" t="s">
        <v>49</v>
      </c>
      <c r="D110" s="21" t="s">
        <v>397</v>
      </c>
      <c r="E110" s="21" t="s">
        <v>8</v>
      </c>
      <c r="F110" s="60">
        <v>24280680</v>
      </c>
      <c r="G110" s="57">
        <f>SUM(F109:F110)</f>
        <v>68923008</v>
      </c>
      <c r="H110" s="8">
        <f>COUNTIF(C108:C116, "*Donley's LLC.*")</f>
        <v>2</v>
      </c>
      <c r="M110" s="66"/>
    </row>
    <row r="111" spans="1:13" hidden="1" outlineLevel="1" x14ac:dyDescent="0.25">
      <c r="A111" s="52" t="s">
        <v>119</v>
      </c>
      <c r="B111" s="8">
        <v>2011</v>
      </c>
      <c r="C111" t="s">
        <v>58</v>
      </c>
      <c r="D111" t="s">
        <v>120</v>
      </c>
      <c r="E111" t="s">
        <v>121</v>
      </c>
      <c r="F111" s="57">
        <v>13631733</v>
      </c>
      <c r="M111" s="66">
        <f>G113/F119</f>
        <v>0.23788465935480013</v>
      </c>
    </row>
    <row r="112" spans="1:13" hidden="1" outlineLevel="1" x14ac:dyDescent="0.25">
      <c r="A112" s="52" t="s">
        <v>119</v>
      </c>
      <c r="B112" s="8">
        <v>2019</v>
      </c>
      <c r="C112" t="s">
        <v>58</v>
      </c>
      <c r="D112" t="s">
        <v>398</v>
      </c>
      <c r="E112" t="s">
        <v>8</v>
      </c>
      <c r="F112" s="57">
        <v>19311522</v>
      </c>
      <c r="M112" s="66"/>
    </row>
    <row r="113" spans="1:13" hidden="1" outlineLevel="1" x14ac:dyDescent="0.25">
      <c r="A113" s="52" t="s">
        <v>119</v>
      </c>
      <c r="B113" s="8">
        <v>2020</v>
      </c>
      <c r="C113" t="s">
        <v>58</v>
      </c>
      <c r="D113" t="s">
        <v>400</v>
      </c>
      <c r="E113" t="s">
        <v>8</v>
      </c>
      <c r="F113" s="57">
        <v>17901615</v>
      </c>
      <c r="G113" s="57">
        <f>SUM(F111:F113)</f>
        <v>50844870</v>
      </c>
      <c r="H113" s="8">
        <f>COUNTIF(C108:C116, "*Kjellstrom &amp; Lee, Inc.*")</f>
        <v>3</v>
      </c>
      <c r="M113" s="66"/>
    </row>
    <row r="114" spans="1:13" hidden="1" outlineLevel="1" x14ac:dyDescent="0.25">
      <c r="A114" s="52" t="s">
        <v>119</v>
      </c>
      <c r="B114" s="8">
        <v>2012</v>
      </c>
      <c r="C114" t="s">
        <v>125</v>
      </c>
      <c r="D114" t="s">
        <v>124</v>
      </c>
      <c r="E114" t="s">
        <v>19</v>
      </c>
      <c r="F114" s="57">
        <v>6985000</v>
      </c>
      <c r="G114" s="57">
        <f>SUM(F114)</f>
        <v>6985000</v>
      </c>
      <c r="H114" s="8">
        <f>COUNTIF(C108:C116, "*Sigal Construction Corp.*")</f>
        <v>1</v>
      </c>
      <c r="M114" s="66">
        <f>G114/F119</f>
        <v>3.2680275229207564E-2</v>
      </c>
    </row>
    <row r="115" spans="1:13" hidden="1" outlineLevel="1" x14ac:dyDescent="0.25">
      <c r="A115" s="52" t="s">
        <v>119</v>
      </c>
      <c r="B115" s="8">
        <v>2013</v>
      </c>
      <c r="C115" t="s">
        <v>9</v>
      </c>
      <c r="D115" t="s">
        <v>122</v>
      </c>
      <c r="E115" t="s">
        <v>121</v>
      </c>
      <c r="F115" s="57">
        <v>26938797</v>
      </c>
      <c r="M115" s="66"/>
    </row>
    <row r="116" spans="1:13" hidden="1" outlineLevel="1" x14ac:dyDescent="0.25">
      <c r="A116" s="54" t="s">
        <v>119</v>
      </c>
      <c r="B116" s="14">
        <v>2014</v>
      </c>
      <c r="C116" s="6" t="s">
        <v>9</v>
      </c>
      <c r="D116" s="6" t="s">
        <v>123</v>
      </c>
      <c r="E116" s="6" t="s">
        <v>121</v>
      </c>
      <c r="F116" s="60">
        <v>25698255</v>
      </c>
      <c r="G116" s="57">
        <f>SUM(F115:F116)</f>
        <v>52637052</v>
      </c>
      <c r="H116" s="8">
        <f>COUNTIF(C108:C116, "*W.M. Jordan Company, Inc.*")</f>
        <v>2</v>
      </c>
      <c r="M116" s="66">
        <f>G116/F119</f>
        <v>0.24626962728906379</v>
      </c>
    </row>
    <row r="117" spans="1:13" hidden="1" outlineLevel="1" x14ac:dyDescent="0.25">
      <c r="A117" s="54" t="s">
        <v>119</v>
      </c>
      <c r="B117" s="14">
        <v>2020</v>
      </c>
      <c r="C117" s="21" t="s">
        <v>11</v>
      </c>
      <c r="D117" s="21" t="s">
        <v>399</v>
      </c>
      <c r="E117" s="21" t="s">
        <v>8</v>
      </c>
      <c r="F117" s="60">
        <v>23201260</v>
      </c>
      <c r="G117" s="57">
        <f>SUM(F117)</f>
        <v>23201260</v>
      </c>
      <c r="H117" s="8">
        <f>COUNTIF(C108:C118, "*Whiting-Turner Contracting Co*")</f>
        <v>1</v>
      </c>
      <c r="M117" s="66">
        <f>G117/F119</f>
        <v>0.10855025947951387</v>
      </c>
    </row>
    <row r="118" spans="1:13" hidden="1" outlineLevel="1" x14ac:dyDescent="0.25">
      <c r="A118" s="54"/>
      <c r="B118" s="14"/>
      <c r="C118" s="6"/>
      <c r="D118" s="6"/>
      <c r="E118" s="6"/>
      <c r="F118" s="60"/>
      <c r="G118" s="57"/>
      <c r="M118" s="66"/>
    </row>
    <row r="119" spans="1:13" s="8" customFormat="1" collapsed="1" x14ac:dyDescent="0.25">
      <c r="A119" s="88" t="s">
        <v>333</v>
      </c>
      <c r="B119" s="40"/>
      <c r="C119" s="40"/>
      <c r="D119" s="40"/>
      <c r="E119" s="40"/>
      <c r="F119" s="58">
        <f>SUM(F108:F118)</f>
        <v>213737490</v>
      </c>
      <c r="G119" s="58">
        <f>SUM(G108:G118)</f>
        <v>213737490</v>
      </c>
      <c r="H119" s="40">
        <f>SUM(H108:H118)</f>
        <v>10</v>
      </c>
      <c r="I119" s="40">
        <f>COUNTIF(E108:E118, "*Competitive Bid*")</f>
        <v>2</v>
      </c>
      <c r="J119" s="40">
        <f>H119-I119</f>
        <v>8</v>
      </c>
      <c r="K119" s="67">
        <f>J119/H119</f>
        <v>0.8</v>
      </c>
      <c r="L119" s="67">
        <f>(F108+F114)/F119</f>
        <v>8.4829760094965095E-2</v>
      </c>
      <c r="M119" s="67">
        <f>SUM(M108:M118)</f>
        <v>1</v>
      </c>
    </row>
    <row r="120" spans="1:13" s="8" customFormat="1" hidden="1" outlineLevel="1" x14ac:dyDescent="0.25">
      <c r="A120" s="144" t="s">
        <v>129</v>
      </c>
      <c r="B120" s="138">
        <v>2017</v>
      </c>
      <c r="C120" s="142" t="s">
        <v>428</v>
      </c>
      <c r="D120" s="142" t="s">
        <v>427</v>
      </c>
      <c r="E120" s="142" t="s">
        <v>8</v>
      </c>
      <c r="F120" s="139">
        <v>6042602</v>
      </c>
      <c r="G120" s="139">
        <f>SUM(F120)</f>
        <v>6042602</v>
      </c>
      <c r="H120" s="138">
        <f>COUNTIF(C120:C172, "*Alexander Nicholson, Inc.*")</f>
        <v>1</v>
      </c>
      <c r="I120" s="138"/>
      <c r="J120" s="138"/>
      <c r="K120" s="140"/>
      <c r="L120" s="140"/>
      <c r="M120" s="140">
        <f>G120/F173</f>
        <v>9.0246167675490027E-3</v>
      </c>
    </row>
    <row r="121" spans="1:13" hidden="1" outlineLevel="1" x14ac:dyDescent="0.25">
      <c r="A121" s="53" t="s">
        <v>129</v>
      </c>
      <c r="B121" s="39">
        <v>2011</v>
      </c>
      <c r="C121" s="19" t="s">
        <v>143</v>
      </c>
      <c r="D121" s="19" t="s">
        <v>142</v>
      </c>
      <c r="E121" s="19" t="s">
        <v>8</v>
      </c>
      <c r="F121" s="59">
        <v>42436184</v>
      </c>
      <c r="M121" s="66"/>
    </row>
    <row r="122" spans="1:13" hidden="1" outlineLevel="1" x14ac:dyDescent="0.25">
      <c r="A122" s="53" t="s">
        <v>129</v>
      </c>
      <c r="B122" s="39">
        <v>2012</v>
      </c>
      <c r="C122" s="19" t="s">
        <v>143</v>
      </c>
      <c r="D122" s="19" t="s">
        <v>155</v>
      </c>
      <c r="E122" s="19" t="s">
        <v>8</v>
      </c>
      <c r="F122" s="59">
        <v>5238422</v>
      </c>
      <c r="M122" s="66"/>
    </row>
    <row r="123" spans="1:13" hidden="1" outlineLevel="1" x14ac:dyDescent="0.25">
      <c r="A123" s="53" t="s">
        <v>129</v>
      </c>
      <c r="B123" s="39">
        <v>2016</v>
      </c>
      <c r="C123" s="19" t="s">
        <v>143</v>
      </c>
      <c r="D123" s="19" t="s">
        <v>186</v>
      </c>
      <c r="E123" s="19" t="s">
        <v>8</v>
      </c>
      <c r="F123" s="59">
        <v>70304737</v>
      </c>
    </row>
    <row r="124" spans="1:13" hidden="1" outlineLevel="1" x14ac:dyDescent="0.25">
      <c r="A124" s="53" t="s">
        <v>129</v>
      </c>
      <c r="B124" s="39">
        <v>2019</v>
      </c>
      <c r="C124" s="21" t="s">
        <v>143</v>
      </c>
      <c r="D124" s="21" t="s">
        <v>438</v>
      </c>
      <c r="E124" s="21" t="s">
        <v>19</v>
      </c>
      <c r="F124" s="59">
        <v>11871111</v>
      </c>
      <c r="G124" s="57">
        <f>SUM(F121:F124)</f>
        <v>129850454</v>
      </c>
      <c r="H124" s="8">
        <f>COUNTIF(C147:C198, "*Barton Malow Company*")</f>
        <v>4</v>
      </c>
      <c r="M124" s="66">
        <f>G124/F173</f>
        <v>0.19393145278180665</v>
      </c>
    </row>
    <row r="125" spans="1:13" hidden="1" outlineLevel="1" x14ac:dyDescent="0.25">
      <c r="A125" s="53" t="s">
        <v>129</v>
      </c>
      <c r="B125" s="39">
        <v>2009</v>
      </c>
      <c r="C125" s="19" t="s">
        <v>171</v>
      </c>
      <c r="D125" s="19" t="s">
        <v>170</v>
      </c>
      <c r="E125" s="19" t="s">
        <v>8</v>
      </c>
      <c r="F125" s="59">
        <v>10833637</v>
      </c>
      <c r="G125" s="57">
        <f>SUM(F125)</f>
        <v>10833637</v>
      </c>
      <c r="H125" s="8">
        <f>COUNTIF(C120:C171, "*Design Electric, Inc.*")</f>
        <v>1</v>
      </c>
      <c r="M125" s="66">
        <f>G125/F173</f>
        <v>1.6180020150878591E-2</v>
      </c>
    </row>
    <row r="126" spans="1:13" hidden="1" outlineLevel="1" x14ac:dyDescent="0.25">
      <c r="A126" s="53" t="s">
        <v>129</v>
      </c>
      <c r="B126" s="39">
        <v>2013</v>
      </c>
      <c r="C126" s="19" t="s">
        <v>49</v>
      </c>
      <c r="D126" s="19" t="s">
        <v>148</v>
      </c>
      <c r="E126" s="19" t="s">
        <v>8</v>
      </c>
      <c r="F126" s="59">
        <v>17418193</v>
      </c>
      <c r="M126" s="66"/>
    </row>
    <row r="127" spans="1:13" hidden="1" outlineLevel="1" x14ac:dyDescent="0.25">
      <c r="A127" s="53" t="s">
        <v>129</v>
      </c>
      <c r="B127" s="39">
        <v>2014</v>
      </c>
      <c r="C127" s="19" t="s">
        <v>49</v>
      </c>
      <c r="D127" s="19" t="s">
        <v>154</v>
      </c>
      <c r="E127" s="19" t="s">
        <v>8</v>
      </c>
      <c r="F127" s="59">
        <v>20687149</v>
      </c>
      <c r="M127" s="66"/>
    </row>
    <row r="128" spans="1:13" hidden="1" outlineLevel="1" x14ac:dyDescent="0.25">
      <c r="A128" s="53" t="s">
        <v>129</v>
      </c>
      <c r="B128" s="39">
        <v>2012</v>
      </c>
      <c r="C128" s="19" t="s">
        <v>49</v>
      </c>
      <c r="D128" s="19" t="s">
        <v>156</v>
      </c>
      <c r="E128" s="19" t="s">
        <v>8</v>
      </c>
      <c r="F128" s="59">
        <v>8457224</v>
      </c>
      <c r="M128" s="66"/>
    </row>
    <row r="129" spans="1:13" hidden="1" outlineLevel="1" x14ac:dyDescent="0.25">
      <c r="A129" s="53" t="s">
        <v>129</v>
      </c>
      <c r="B129" s="39">
        <v>2012</v>
      </c>
      <c r="C129" s="19" t="s">
        <v>49</v>
      </c>
      <c r="D129" s="19" t="s">
        <v>157</v>
      </c>
      <c r="E129" s="19" t="s">
        <v>8</v>
      </c>
      <c r="F129" s="59">
        <v>11826727</v>
      </c>
      <c r="M129" s="66"/>
    </row>
    <row r="130" spans="1:13" hidden="1" outlineLevel="1" x14ac:dyDescent="0.25">
      <c r="A130" s="53" t="s">
        <v>129</v>
      </c>
      <c r="B130" s="39">
        <v>2008</v>
      </c>
      <c r="C130" s="19" t="s">
        <v>49</v>
      </c>
      <c r="D130" s="19" t="s">
        <v>162</v>
      </c>
      <c r="E130" s="19" t="s">
        <v>8</v>
      </c>
      <c r="F130" s="59">
        <v>25897000</v>
      </c>
      <c r="G130" s="57">
        <f>SUM(F126:F130)</f>
        <v>84286293</v>
      </c>
      <c r="H130" s="8">
        <f>COUNTIF(C120:C171, "*Donley's LLC.*")</f>
        <v>5</v>
      </c>
      <c r="M130" s="66">
        <f>G130/F173</f>
        <v>0.12588144860150446</v>
      </c>
    </row>
    <row r="131" spans="1:13" hidden="1" outlineLevel="1" x14ac:dyDescent="0.25">
      <c r="A131" s="53" t="s">
        <v>129</v>
      </c>
      <c r="B131" s="39">
        <v>2010</v>
      </c>
      <c r="C131" s="19" t="s">
        <v>141</v>
      </c>
      <c r="D131" s="19" t="s">
        <v>140</v>
      </c>
      <c r="E131" s="19" t="s">
        <v>8</v>
      </c>
      <c r="F131" s="59">
        <v>19198486</v>
      </c>
      <c r="G131" s="57">
        <f>SUM(F131)</f>
        <v>19198486</v>
      </c>
      <c r="H131" s="8">
        <f>COUNTIF(C120:C171, "*DPR Construction, Inc.*")</f>
        <v>1</v>
      </c>
      <c r="M131" s="66">
        <f>G131/F173</f>
        <v>2.8672909231346824E-2</v>
      </c>
    </row>
    <row r="132" spans="1:13" hidden="1" outlineLevel="1" x14ac:dyDescent="0.25">
      <c r="A132" s="53" t="s">
        <v>129</v>
      </c>
      <c r="B132" s="39">
        <v>2008</v>
      </c>
      <c r="C132" s="19" t="s">
        <v>160</v>
      </c>
      <c r="D132" s="19" t="s">
        <v>159</v>
      </c>
      <c r="E132" s="19" t="s">
        <v>8</v>
      </c>
      <c r="F132" s="59">
        <v>6958920</v>
      </c>
      <c r="G132" s="57">
        <f>SUM(F132)</f>
        <v>6958920</v>
      </c>
      <c r="H132" s="8">
        <f>COUNTIF(C120:C171, "*Faulconer Construction Co., Inc.*")</f>
        <v>1</v>
      </c>
      <c r="M132" s="66">
        <f>G132/F173</f>
        <v>1.039313628731995E-2</v>
      </c>
    </row>
    <row r="133" spans="1:13" hidden="1" outlineLevel="1" x14ac:dyDescent="0.25">
      <c r="A133" s="53" t="s">
        <v>129</v>
      </c>
      <c r="B133" s="39">
        <v>2012</v>
      </c>
      <c r="C133" s="19" t="s">
        <v>146</v>
      </c>
      <c r="D133" s="19" t="s">
        <v>145</v>
      </c>
      <c r="E133" s="19" t="s">
        <v>8</v>
      </c>
      <c r="F133" s="59">
        <v>9134220</v>
      </c>
      <c r="M133" s="66"/>
    </row>
    <row r="134" spans="1:13" hidden="1" outlineLevel="1" x14ac:dyDescent="0.25">
      <c r="A134" s="53" t="s">
        <v>129</v>
      </c>
      <c r="B134" s="39">
        <v>2012</v>
      </c>
      <c r="C134" s="19" t="s">
        <v>146</v>
      </c>
      <c r="D134" s="19" t="s">
        <v>147</v>
      </c>
      <c r="E134" s="19" t="s">
        <v>8</v>
      </c>
      <c r="F134" s="59">
        <v>11307704</v>
      </c>
      <c r="M134" s="66"/>
    </row>
    <row r="135" spans="1:13" hidden="1" outlineLevel="1" x14ac:dyDescent="0.25">
      <c r="A135" s="53" t="s">
        <v>129</v>
      </c>
      <c r="B135" s="39">
        <v>2017</v>
      </c>
      <c r="C135" s="19" t="s">
        <v>146</v>
      </c>
      <c r="D135" s="19" t="s">
        <v>187</v>
      </c>
      <c r="E135" s="19" t="s">
        <v>8</v>
      </c>
      <c r="F135" s="59">
        <v>10394947</v>
      </c>
      <c r="G135" s="57">
        <f>SUM(F133:F135)</f>
        <v>30836871</v>
      </c>
      <c r="H135" s="8">
        <f>COUNTIF(C120:C171, "*Gilbane Building Company*")</f>
        <v>3</v>
      </c>
      <c r="M135" s="66">
        <f>G135/F173</f>
        <v>4.6054819279069778E-2</v>
      </c>
    </row>
    <row r="136" spans="1:13" hidden="1" outlineLevel="1" x14ac:dyDescent="0.25">
      <c r="A136" s="53" t="s">
        <v>129</v>
      </c>
      <c r="B136" s="39">
        <v>2017</v>
      </c>
      <c r="C136" s="19" t="s">
        <v>437</v>
      </c>
      <c r="D136" s="19" t="s">
        <v>431</v>
      </c>
      <c r="E136" s="19" t="s">
        <v>8</v>
      </c>
      <c r="F136" s="59">
        <v>7285505</v>
      </c>
      <c r="G136" s="57">
        <f>SUM(F136)</f>
        <v>7285505</v>
      </c>
      <c r="H136" s="8">
        <f>COUNTIF(C119:C171, "*Greenland Enterprise, Inc.*")</f>
        <v>1</v>
      </c>
      <c r="M136" s="66">
        <f>G136/F173</f>
        <v>1.0880890481130827E-2</v>
      </c>
    </row>
    <row r="137" spans="1:13" hidden="1" outlineLevel="1" x14ac:dyDescent="0.25">
      <c r="A137" s="53" t="s">
        <v>129</v>
      </c>
      <c r="B137" s="39">
        <v>2010</v>
      </c>
      <c r="C137" s="19" t="s">
        <v>178</v>
      </c>
      <c r="D137" s="19" t="s">
        <v>177</v>
      </c>
      <c r="E137" s="19" t="s">
        <v>19</v>
      </c>
      <c r="F137" s="59">
        <v>6962228</v>
      </c>
      <c r="G137" s="57">
        <f>SUM(F137)</f>
        <v>6962228</v>
      </c>
      <c r="H137" s="8">
        <f>COUNTIF(C120:C171, "*Holder Construction Group, LLC.*")</f>
        <v>1</v>
      </c>
      <c r="M137" s="66">
        <f>G137/F173</f>
        <v>1.0398076780218051E-2</v>
      </c>
    </row>
    <row r="138" spans="1:13" hidden="1" outlineLevel="1" x14ac:dyDescent="0.25">
      <c r="A138" s="53" t="s">
        <v>129</v>
      </c>
      <c r="B138" s="39">
        <v>2018</v>
      </c>
      <c r="C138" s="19" t="s">
        <v>424</v>
      </c>
      <c r="D138" s="19" t="s">
        <v>434</v>
      </c>
      <c r="E138" s="19" t="s">
        <v>8</v>
      </c>
      <c r="F138" s="59">
        <v>19654061</v>
      </c>
      <c r="G138" s="57">
        <f>SUM(F138)</f>
        <v>19654061</v>
      </c>
      <c r="H138" s="8">
        <f>COUNTIF(C119:C171, "*Jamerson-Lewis Construction, Inc.*")</f>
        <v>1</v>
      </c>
      <c r="M138" s="66">
        <f>G138/F173</f>
        <v>2.9353309791217579E-2</v>
      </c>
    </row>
    <row r="139" spans="1:13" hidden="1" outlineLevel="1" x14ac:dyDescent="0.25">
      <c r="A139" s="53" t="s">
        <v>129</v>
      </c>
      <c r="B139" s="39">
        <v>2018</v>
      </c>
      <c r="C139" s="19" t="s">
        <v>58</v>
      </c>
      <c r="D139" s="19" t="s">
        <v>433</v>
      </c>
      <c r="E139" s="19" t="s">
        <v>8</v>
      </c>
      <c r="F139" s="59">
        <v>10513253</v>
      </c>
      <c r="G139" s="57">
        <f>SUM(F139)</f>
        <v>10513253</v>
      </c>
      <c r="H139" s="8">
        <f>COUNTIF(C119:C171, "*Kjellstrom &amp; Lee, Inc.*")</f>
        <v>1</v>
      </c>
      <c r="M139" s="66">
        <f>G139/F173</f>
        <v>1.5701527141003969E-2</v>
      </c>
    </row>
    <row r="140" spans="1:13" hidden="1" outlineLevel="1" x14ac:dyDescent="0.25">
      <c r="A140" s="53" t="s">
        <v>129</v>
      </c>
      <c r="B140" s="39">
        <v>2008</v>
      </c>
      <c r="C140" s="19" t="s">
        <v>166</v>
      </c>
      <c r="D140" s="19" t="s">
        <v>165</v>
      </c>
      <c r="E140" s="19" t="s">
        <v>8</v>
      </c>
      <c r="F140" s="59">
        <v>5775000</v>
      </c>
      <c r="G140" s="57">
        <f>SUM(F140)</f>
        <v>5775000</v>
      </c>
      <c r="H140" s="8">
        <f>COUNTIF(C120:C171, "*M.C. Dean, Inc.*")</f>
        <v>1</v>
      </c>
      <c r="M140" s="66">
        <f>G140/F173</f>
        <v>8.6249535932691728E-3</v>
      </c>
    </row>
    <row r="141" spans="1:13" hidden="1" outlineLevel="1" x14ac:dyDescent="0.25">
      <c r="A141" s="53" t="s">
        <v>129</v>
      </c>
      <c r="B141" s="39">
        <v>2014</v>
      </c>
      <c r="C141" s="19" t="s">
        <v>150</v>
      </c>
      <c r="D141" s="19" t="s">
        <v>149</v>
      </c>
      <c r="E141" s="19" t="s">
        <v>8</v>
      </c>
      <c r="F141" s="59">
        <v>7940472</v>
      </c>
      <c r="G141" s="57"/>
      <c r="M141" s="66"/>
    </row>
    <row r="142" spans="1:13" hidden="1" outlineLevel="1" x14ac:dyDescent="0.25">
      <c r="A142" s="53" t="s">
        <v>129</v>
      </c>
      <c r="B142" s="39">
        <v>2008</v>
      </c>
      <c r="C142" s="19" t="s">
        <v>150</v>
      </c>
      <c r="D142" s="19" t="s">
        <v>169</v>
      </c>
      <c r="E142" s="19" t="s">
        <v>8</v>
      </c>
      <c r="F142" s="59">
        <v>6321025</v>
      </c>
      <c r="G142" s="57">
        <f>SUM(F141:F142)</f>
        <v>14261497</v>
      </c>
      <c r="H142" s="8">
        <f>COUNTIF(C120:C171, "*Martin Horn, Inc.*")</f>
        <v>2</v>
      </c>
      <c r="M142" s="66">
        <f>G142/F173</f>
        <v>2.1299523774120786E-2</v>
      </c>
    </row>
    <row r="143" spans="1:13" hidden="1" outlineLevel="1" x14ac:dyDescent="0.25">
      <c r="A143" s="53" t="s">
        <v>129</v>
      </c>
      <c r="B143" s="39">
        <v>2011</v>
      </c>
      <c r="C143" s="19" t="s">
        <v>61</v>
      </c>
      <c r="D143" s="19" t="s">
        <v>144</v>
      </c>
      <c r="E143" s="19" t="s">
        <v>8</v>
      </c>
      <c r="F143" s="59">
        <v>7543056</v>
      </c>
      <c r="G143" s="57">
        <f>SUM(F143)</f>
        <v>7543056</v>
      </c>
      <c r="H143" s="8">
        <f>COUNTIF(C120:C171, "*Nielsen Builders, Inc.*")</f>
        <v>1</v>
      </c>
      <c r="M143" s="66">
        <f>G143/F173</f>
        <v>1.1265542502412225E-2</v>
      </c>
    </row>
    <row r="144" spans="1:13" hidden="1" outlineLevel="1" x14ac:dyDescent="0.25">
      <c r="A144" s="53" t="s">
        <v>129</v>
      </c>
      <c r="B144" s="39">
        <v>2010</v>
      </c>
      <c r="C144" s="19" t="s">
        <v>134</v>
      </c>
      <c r="D144" s="19" t="s">
        <v>133</v>
      </c>
      <c r="E144" s="19" t="s">
        <v>8</v>
      </c>
      <c r="F144" s="59">
        <v>13352272</v>
      </c>
      <c r="M144" s="66"/>
    </row>
    <row r="145" spans="1:13" hidden="1" outlineLevel="1" x14ac:dyDescent="0.25">
      <c r="A145" s="53" t="s">
        <v>129</v>
      </c>
      <c r="B145" s="39">
        <v>2013</v>
      </c>
      <c r="C145" s="19" t="s">
        <v>134</v>
      </c>
      <c r="D145" s="19" t="s">
        <v>158</v>
      </c>
      <c r="E145" s="19" t="s">
        <v>8</v>
      </c>
      <c r="F145" s="59">
        <v>22774649</v>
      </c>
      <c r="M145" s="66"/>
    </row>
    <row r="146" spans="1:13" hidden="1" outlineLevel="1" x14ac:dyDescent="0.25">
      <c r="A146" s="53" t="s">
        <v>129</v>
      </c>
      <c r="B146" s="39">
        <v>2008</v>
      </c>
      <c r="C146" s="19" t="s">
        <v>134</v>
      </c>
      <c r="D146" s="19" t="s">
        <v>161</v>
      </c>
      <c r="E146" s="19" t="s">
        <v>8</v>
      </c>
      <c r="F146" s="59">
        <v>6387770</v>
      </c>
      <c r="G146" s="57">
        <f>SUM(F144:F146)</f>
        <v>42514691</v>
      </c>
      <c r="H146" s="8">
        <f>COUNTIF(C120:C171, "*Quesenberry's Construction*")</f>
        <v>3</v>
      </c>
      <c r="M146" s="66">
        <f>G146/F173</f>
        <v>6.3495625438472481E-2</v>
      </c>
    </row>
    <row r="147" spans="1:13" hidden="1" outlineLevel="1" x14ac:dyDescent="0.25">
      <c r="A147" s="53" t="s">
        <v>129</v>
      </c>
      <c r="B147" s="39">
        <v>2011</v>
      </c>
      <c r="C147" s="19" t="s">
        <v>185</v>
      </c>
      <c r="D147" s="19" t="s">
        <v>183</v>
      </c>
      <c r="E147" s="19" t="s">
        <v>184</v>
      </c>
      <c r="F147" s="59">
        <v>8080574</v>
      </c>
      <c r="G147" s="57">
        <f>SUM(F147)</f>
        <v>8080574</v>
      </c>
      <c r="H147" s="8">
        <f>COUNTIF(C120:C171, "*R.E. Lee &amp; Sons, Inc.*")</f>
        <v>1</v>
      </c>
      <c r="M147" s="66">
        <f>G147/F173</f>
        <v>1.2068324806403023E-2</v>
      </c>
    </row>
    <row r="148" spans="1:13" hidden="1" outlineLevel="1" x14ac:dyDescent="0.25">
      <c r="A148" s="53" t="s">
        <v>129</v>
      </c>
      <c r="B148" s="39">
        <v>2017</v>
      </c>
      <c r="C148" s="19" t="s">
        <v>430</v>
      </c>
      <c r="D148" s="19" t="s">
        <v>429</v>
      </c>
      <c r="E148" s="19" t="s">
        <v>33</v>
      </c>
      <c r="F148" s="59">
        <v>6518658</v>
      </c>
      <c r="G148" s="57">
        <f>SUM(F148)</f>
        <v>6518658</v>
      </c>
      <c r="H148" s="8">
        <f>COUNTIF(C119:C171, "*Renascent, Inc.*")</f>
        <v>1</v>
      </c>
      <c r="M148" s="66">
        <f>G148/F173</f>
        <v>9.7356056693320928E-3</v>
      </c>
    </row>
    <row r="149" spans="1:13" hidden="1" outlineLevel="1" x14ac:dyDescent="0.25">
      <c r="A149" s="53" t="s">
        <v>129</v>
      </c>
      <c r="B149" s="39">
        <v>2009</v>
      </c>
      <c r="C149" s="19" t="s">
        <v>173</v>
      </c>
      <c r="D149" s="19" t="s">
        <v>172</v>
      </c>
      <c r="E149" s="19" t="s">
        <v>8</v>
      </c>
      <c r="F149" s="59">
        <v>10413942</v>
      </c>
      <c r="G149" s="57">
        <f>SUM(F149)</f>
        <v>10413942</v>
      </c>
      <c r="H149" s="8">
        <f>COUNTIF(C120:C171, "*Riddleberger Brothers, Inc.*")</f>
        <v>1</v>
      </c>
      <c r="M149" s="66">
        <f>G149/F173</f>
        <v>1.5553206315670434E-2</v>
      </c>
    </row>
    <row r="150" spans="1:13" hidden="1" outlineLevel="1" x14ac:dyDescent="0.25">
      <c r="A150" s="53" t="s">
        <v>129</v>
      </c>
      <c r="B150" s="39">
        <v>2008</v>
      </c>
      <c r="C150" s="19" t="s">
        <v>164</v>
      </c>
      <c r="D150" s="19" t="s">
        <v>163</v>
      </c>
      <c r="E150" s="19" t="s">
        <v>8</v>
      </c>
      <c r="F150" s="59">
        <v>7542100</v>
      </c>
      <c r="G150" s="57">
        <f>SUM(F150)</f>
        <v>7542100</v>
      </c>
      <c r="H150" s="8">
        <f>COUNTIF(C120:C171, "*Sullivan Mechanical Contractors, Inc.*")</f>
        <v>1</v>
      </c>
      <c r="M150" s="66">
        <f>G150/F173</f>
        <v>1.1264114717886655E-2</v>
      </c>
    </row>
    <row r="151" spans="1:13" hidden="1" outlineLevel="1" x14ac:dyDescent="0.25">
      <c r="A151" s="53" t="s">
        <v>129</v>
      </c>
      <c r="B151" s="39">
        <v>2019</v>
      </c>
      <c r="C151" s="21" t="s">
        <v>445</v>
      </c>
      <c r="D151" s="21" t="s">
        <v>436</v>
      </c>
      <c r="E151" s="21" t="s">
        <v>19</v>
      </c>
      <c r="F151" s="59">
        <v>5489874</v>
      </c>
      <c r="G151" s="57">
        <f>SUM(F151)</f>
        <v>5489874</v>
      </c>
      <c r="H151" s="8">
        <f>COUNTIF(C120:C172, "*Team Henry Enterprises*")</f>
        <v>1</v>
      </c>
      <c r="M151" s="66">
        <f>G151/F173</f>
        <v>8.1991183520164507E-3</v>
      </c>
    </row>
    <row r="152" spans="1:13" hidden="1" outlineLevel="1" x14ac:dyDescent="0.25">
      <c r="A152" s="53" t="s">
        <v>129</v>
      </c>
      <c r="B152" s="39">
        <v>2008</v>
      </c>
      <c r="C152" s="19" t="s">
        <v>136</v>
      </c>
      <c r="D152" s="19" t="s">
        <v>130</v>
      </c>
      <c r="E152" s="19" t="s">
        <v>8</v>
      </c>
      <c r="F152" s="59">
        <v>5424879</v>
      </c>
      <c r="M152" s="66"/>
    </row>
    <row r="153" spans="1:13" hidden="1" outlineLevel="1" x14ac:dyDescent="0.25">
      <c r="A153" s="53" t="s">
        <v>129</v>
      </c>
      <c r="B153" s="39">
        <v>2008</v>
      </c>
      <c r="C153" s="19" t="s">
        <v>136</v>
      </c>
      <c r="D153" s="19" t="s">
        <v>131</v>
      </c>
      <c r="E153" s="19" t="s">
        <v>8</v>
      </c>
      <c r="F153" s="59">
        <v>6059233</v>
      </c>
      <c r="M153" s="66"/>
    </row>
    <row r="154" spans="1:13" hidden="1" outlineLevel="1" x14ac:dyDescent="0.25">
      <c r="A154" s="53" t="s">
        <v>129</v>
      </c>
      <c r="B154" s="39">
        <v>2010</v>
      </c>
      <c r="C154" s="19" t="s">
        <v>136</v>
      </c>
      <c r="D154" s="19" t="s">
        <v>137</v>
      </c>
      <c r="E154" s="19" t="s">
        <v>8</v>
      </c>
      <c r="F154" s="59">
        <v>5822481</v>
      </c>
      <c r="M154" s="66"/>
    </row>
    <row r="155" spans="1:13" hidden="1" outlineLevel="1" x14ac:dyDescent="0.25">
      <c r="A155" s="53" t="s">
        <v>129</v>
      </c>
      <c r="B155" s="39">
        <v>2008</v>
      </c>
      <c r="C155" s="19" t="s">
        <v>136</v>
      </c>
      <c r="D155" s="19" t="s">
        <v>168</v>
      </c>
      <c r="E155" s="19" t="s">
        <v>8</v>
      </c>
      <c r="F155" s="59">
        <v>8173387</v>
      </c>
      <c r="G155" s="57">
        <f>SUM(F152:F155)</f>
        <v>25479980</v>
      </c>
      <c r="H155" s="8">
        <f>COUNTIF(C121:C172, "*The Christman Company*")</f>
        <v>4</v>
      </c>
      <c r="M155" s="66">
        <f>G155/F173</f>
        <v>3.8054310832454835E-2</v>
      </c>
    </row>
    <row r="156" spans="1:13" hidden="1" outlineLevel="1" x14ac:dyDescent="0.25">
      <c r="A156" s="53" t="s">
        <v>129</v>
      </c>
      <c r="B156" s="39">
        <v>2009</v>
      </c>
      <c r="C156" s="19" t="s">
        <v>9</v>
      </c>
      <c r="D156" s="19" t="s">
        <v>139</v>
      </c>
      <c r="E156" s="19" t="s">
        <v>8</v>
      </c>
      <c r="F156" s="59">
        <v>8570989</v>
      </c>
      <c r="M156" s="66"/>
    </row>
    <row r="157" spans="1:13" hidden="1" outlineLevel="1" x14ac:dyDescent="0.25">
      <c r="A157" s="53" t="s">
        <v>129</v>
      </c>
      <c r="B157" s="39">
        <v>2009</v>
      </c>
      <c r="C157" s="19" t="s">
        <v>9</v>
      </c>
      <c r="D157" s="19" t="s">
        <v>132</v>
      </c>
      <c r="E157" s="19" t="s">
        <v>8</v>
      </c>
      <c r="F157" s="59">
        <v>5629170</v>
      </c>
      <c r="M157" s="66"/>
    </row>
    <row r="158" spans="1:13" hidden="1" outlineLevel="1" x14ac:dyDescent="0.25">
      <c r="A158" s="53" t="s">
        <v>129</v>
      </c>
      <c r="B158" s="39">
        <v>2010</v>
      </c>
      <c r="C158" s="19" t="s">
        <v>9</v>
      </c>
      <c r="D158" s="19" t="s">
        <v>135</v>
      </c>
      <c r="E158" s="19" t="s">
        <v>8</v>
      </c>
      <c r="F158" s="59">
        <v>8085128</v>
      </c>
      <c r="M158" s="66"/>
    </row>
    <row r="159" spans="1:13" hidden="1" outlineLevel="1" x14ac:dyDescent="0.25">
      <c r="A159" s="53" t="s">
        <v>129</v>
      </c>
      <c r="B159" s="39">
        <v>2010</v>
      </c>
      <c r="C159" s="19" t="s">
        <v>9</v>
      </c>
      <c r="D159" s="19" t="s">
        <v>138</v>
      </c>
      <c r="E159" s="19" t="s">
        <v>8</v>
      </c>
      <c r="F159" s="59">
        <v>6208697</v>
      </c>
      <c r="M159" s="66"/>
    </row>
    <row r="160" spans="1:13" hidden="1" outlineLevel="1" x14ac:dyDescent="0.25">
      <c r="A160" s="53" t="s">
        <v>129</v>
      </c>
      <c r="B160" s="39">
        <v>2008</v>
      </c>
      <c r="C160" s="19" t="s">
        <v>9</v>
      </c>
      <c r="D160" s="19" t="s">
        <v>176</v>
      </c>
      <c r="E160" s="19" t="s">
        <v>8</v>
      </c>
      <c r="F160" s="59">
        <v>5879274</v>
      </c>
      <c r="M160" s="66"/>
    </row>
    <row r="161" spans="1:13" hidden="1" outlineLevel="1" x14ac:dyDescent="0.25">
      <c r="A161" s="53" t="s">
        <v>129</v>
      </c>
      <c r="B161" s="39">
        <v>2008</v>
      </c>
      <c r="C161" s="19" t="s">
        <v>9</v>
      </c>
      <c r="D161" s="19" t="s">
        <v>167</v>
      </c>
      <c r="E161" s="19" t="s">
        <v>8</v>
      </c>
      <c r="F161" s="59">
        <v>6568767</v>
      </c>
      <c r="M161" s="66"/>
    </row>
    <row r="162" spans="1:13" hidden="1" outlineLevel="1" x14ac:dyDescent="0.25">
      <c r="A162" s="53" t="s">
        <v>129</v>
      </c>
      <c r="B162" s="39">
        <v>2009</v>
      </c>
      <c r="C162" s="19" t="s">
        <v>9</v>
      </c>
      <c r="D162" s="19" t="s">
        <v>174</v>
      </c>
      <c r="E162" s="19" t="s">
        <v>8</v>
      </c>
      <c r="F162" s="59">
        <v>13624746</v>
      </c>
      <c r="M162" s="66"/>
    </row>
    <row r="163" spans="1:13" hidden="1" outlineLevel="1" x14ac:dyDescent="0.25">
      <c r="A163" s="53" t="s">
        <v>129</v>
      </c>
      <c r="B163" s="39">
        <v>2009</v>
      </c>
      <c r="C163" s="19" t="s">
        <v>9</v>
      </c>
      <c r="D163" s="19" t="s">
        <v>175</v>
      </c>
      <c r="E163" s="19" t="s">
        <v>8</v>
      </c>
      <c r="F163" s="59">
        <v>9180208</v>
      </c>
      <c r="M163" s="66"/>
    </row>
    <row r="164" spans="1:13" hidden="1" outlineLevel="1" x14ac:dyDescent="0.25">
      <c r="A164" s="53" t="s">
        <v>129</v>
      </c>
      <c r="B164" s="39">
        <v>2009</v>
      </c>
      <c r="C164" s="19" t="s">
        <v>9</v>
      </c>
      <c r="D164" s="19" t="s">
        <v>179</v>
      </c>
      <c r="E164" s="19" t="s">
        <v>33</v>
      </c>
      <c r="F164" s="59">
        <v>12511436</v>
      </c>
      <c r="M164" s="66"/>
    </row>
    <row r="165" spans="1:13" hidden="1" outlineLevel="1" x14ac:dyDescent="0.25">
      <c r="A165" s="53" t="s">
        <v>129</v>
      </c>
      <c r="B165" s="39">
        <v>2009</v>
      </c>
      <c r="C165" s="19" t="s">
        <v>9</v>
      </c>
      <c r="D165" s="19" t="s">
        <v>180</v>
      </c>
      <c r="E165" s="19" t="s">
        <v>33</v>
      </c>
      <c r="F165" s="59">
        <v>10759429</v>
      </c>
      <c r="M165" s="66"/>
    </row>
    <row r="166" spans="1:13" hidden="1" outlineLevel="1" x14ac:dyDescent="0.25">
      <c r="A166" s="53" t="s">
        <v>129</v>
      </c>
      <c r="B166" s="39">
        <v>2010</v>
      </c>
      <c r="C166" s="19" t="s">
        <v>9</v>
      </c>
      <c r="D166" s="19" t="s">
        <v>181</v>
      </c>
      <c r="E166" s="19" t="s">
        <v>33</v>
      </c>
      <c r="F166" s="59">
        <v>26667697</v>
      </c>
      <c r="M166" s="66"/>
    </row>
    <row r="167" spans="1:13" hidden="1" outlineLevel="1" x14ac:dyDescent="0.25">
      <c r="A167" s="53" t="s">
        <v>129</v>
      </c>
      <c r="B167" s="39">
        <v>2011</v>
      </c>
      <c r="C167" s="19" t="s">
        <v>9</v>
      </c>
      <c r="D167" s="19" t="s">
        <v>182</v>
      </c>
      <c r="E167" s="19" t="s">
        <v>33</v>
      </c>
      <c r="F167" s="59">
        <v>19078457</v>
      </c>
      <c r="G167" s="57">
        <f>SUM(F156:F167)</f>
        <v>132763998</v>
      </c>
      <c r="H167" s="8">
        <f>COUNTIF(C121:C172, "*W.M. Jordan Company, Inc.*")</f>
        <v>12</v>
      </c>
      <c r="M167" s="66">
        <f>G167/F173</f>
        <v>0.19828282625227381</v>
      </c>
    </row>
    <row r="168" spans="1:13" hidden="1" outlineLevel="1" x14ac:dyDescent="0.25">
      <c r="A168" s="53" t="s">
        <v>129</v>
      </c>
      <c r="B168" s="39">
        <v>2014</v>
      </c>
      <c r="C168" s="19" t="s">
        <v>11</v>
      </c>
      <c r="D168" s="19" t="s">
        <v>151</v>
      </c>
      <c r="E168" s="19" t="s">
        <v>8</v>
      </c>
      <c r="F168" s="59">
        <v>7995068</v>
      </c>
      <c r="M168" s="66"/>
    </row>
    <row r="169" spans="1:13" hidden="1" outlineLevel="1" x14ac:dyDescent="0.25">
      <c r="A169" s="53" t="s">
        <v>129</v>
      </c>
      <c r="B169" s="39">
        <v>2014</v>
      </c>
      <c r="C169" s="19" t="s">
        <v>11</v>
      </c>
      <c r="D169" s="19" t="s">
        <v>152</v>
      </c>
      <c r="E169" s="19" t="s">
        <v>8</v>
      </c>
      <c r="F169" s="59">
        <v>7151160</v>
      </c>
      <c r="M169" s="66"/>
    </row>
    <row r="170" spans="1:13" hidden="1" outlineLevel="1" x14ac:dyDescent="0.25">
      <c r="A170" s="53" t="s">
        <v>129</v>
      </c>
      <c r="B170" s="39">
        <v>2014</v>
      </c>
      <c r="C170" s="19" t="s">
        <v>11</v>
      </c>
      <c r="D170" s="19" t="s">
        <v>153</v>
      </c>
      <c r="E170" s="19" t="s">
        <v>8</v>
      </c>
      <c r="F170" s="59">
        <v>12565643</v>
      </c>
      <c r="M170" s="66"/>
    </row>
    <row r="171" spans="1:13" hidden="1" outlineLevel="1" x14ac:dyDescent="0.25">
      <c r="A171" s="87" t="s">
        <v>129</v>
      </c>
      <c r="B171" s="106">
        <v>2017</v>
      </c>
      <c r="C171" s="21" t="s">
        <v>11</v>
      </c>
      <c r="D171" s="21" t="s">
        <v>188</v>
      </c>
      <c r="E171" s="21" t="s">
        <v>8</v>
      </c>
      <c r="F171" s="56">
        <v>43051269</v>
      </c>
      <c r="G171" s="57">
        <f>SUM(F168:F171)</f>
        <v>70763140</v>
      </c>
      <c r="H171" s="8">
        <f>COUNTIF(C121:C172, "*Whiting-Turner Contracting Co*")</f>
        <v>4</v>
      </c>
      <c r="M171" s="66">
        <f>G171/F173</f>
        <v>0.10568464045264235</v>
      </c>
    </row>
    <row r="172" spans="1:13" hidden="1" outlineLevel="1" x14ac:dyDescent="0.25">
      <c r="A172" s="87"/>
      <c r="B172" s="106"/>
      <c r="C172" s="21"/>
      <c r="D172" s="21"/>
      <c r="E172" s="21"/>
      <c r="F172" s="56"/>
      <c r="G172" s="57"/>
      <c r="M172" s="66"/>
    </row>
    <row r="173" spans="1:13" s="8" customFormat="1" collapsed="1" x14ac:dyDescent="0.25">
      <c r="A173" s="88" t="s">
        <v>334</v>
      </c>
      <c r="B173" s="40"/>
      <c r="C173" s="40"/>
      <c r="D173" s="40"/>
      <c r="E173" s="40"/>
      <c r="F173" s="58">
        <f>SUM(F120:F172)</f>
        <v>669568820</v>
      </c>
      <c r="G173" s="58">
        <f>SUM(G120:G172)</f>
        <v>669568820</v>
      </c>
      <c r="H173" s="40">
        <f>SUM(H120:H172)</f>
        <v>52</v>
      </c>
      <c r="I173" s="40">
        <f>COUNTIF(E120:E172, "*Competitive Bid*")</f>
        <v>3</v>
      </c>
      <c r="J173" s="40">
        <f>H173-I173</f>
        <v>49</v>
      </c>
      <c r="K173" s="67">
        <f>J173/H173</f>
        <v>0.94230769230769229</v>
      </c>
      <c r="L173" s="67">
        <f>(F124+F137+F151)/F173</f>
        <v>3.6326681102026227E-2</v>
      </c>
      <c r="M173" s="67">
        <f>SUM(M120:M172)</f>
        <v>1</v>
      </c>
    </row>
    <row r="174" spans="1:13" hidden="1" outlineLevel="1" x14ac:dyDescent="0.25">
      <c r="A174" s="89" t="s">
        <v>189</v>
      </c>
      <c r="B174" s="184">
        <v>2013</v>
      </c>
      <c r="C174" s="47" t="s">
        <v>9</v>
      </c>
      <c r="D174" s="47" t="s">
        <v>190</v>
      </c>
      <c r="E174" s="47" t="s">
        <v>8</v>
      </c>
      <c r="F174" s="61">
        <v>7760889</v>
      </c>
      <c r="G174" s="57">
        <f>SUM(F174)</f>
        <v>7760889</v>
      </c>
      <c r="H174" s="8">
        <f>COUNTIF(C174:C175, "*W.M. Jordan Company, Inc.*")</f>
        <v>1</v>
      </c>
      <c r="M174" s="66">
        <f>G174/F177</f>
        <v>0.51404925789659106</v>
      </c>
    </row>
    <row r="175" spans="1:13" hidden="1" outlineLevel="1" x14ac:dyDescent="0.25">
      <c r="A175" s="87" t="s">
        <v>189</v>
      </c>
      <c r="B175" s="106">
        <v>2018</v>
      </c>
      <c r="C175" s="21" t="s">
        <v>75</v>
      </c>
      <c r="D175" s="21" t="s">
        <v>384</v>
      </c>
      <c r="E175" s="21" t="s">
        <v>8</v>
      </c>
      <c r="F175" s="56">
        <v>7336670</v>
      </c>
      <c r="G175" s="57">
        <f>SUM(F175)</f>
        <v>7336670</v>
      </c>
      <c r="H175" s="8">
        <f>COUNTIF(C174:C175, "*Branch &amp; Associates*")</f>
        <v>1</v>
      </c>
      <c r="M175" s="66">
        <f>G175/F177</f>
        <v>0.48595074210340888</v>
      </c>
    </row>
    <row r="176" spans="1:13" hidden="1" outlineLevel="1" x14ac:dyDescent="0.25">
      <c r="A176" s="87"/>
      <c r="B176" s="106"/>
      <c r="C176" s="21"/>
      <c r="D176" s="21"/>
      <c r="E176" s="21"/>
      <c r="F176" s="56"/>
      <c r="G176" s="57"/>
      <c r="M176" s="66"/>
    </row>
    <row r="177" spans="1:13" s="8" customFormat="1" collapsed="1" x14ac:dyDescent="0.25">
      <c r="A177" s="88" t="s">
        <v>335</v>
      </c>
      <c r="B177" s="40"/>
      <c r="C177" s="40"/>
      <c r="D177" s="40"/>
      <c r="E177" s="40"/>
      <c r="F177" s="58">
        <f>SUM(F174:F176)</f>
        <v>15097559</v>
      </c>
      <c r="G177" s="58">
        <f>SUM(G174:G176)</f>
        <v>15097559</v>
      </c>
      <c r="H177" s="40">
        <f>SUM(H174:H176)</f>
        <v>2</v>
      </c>
      <c r="I177" s="40">
        <f>COUNTIF(E174:E176, "*Competitive Bid*")</f>
        <v>0</v>
      </c>
      <c r="J177" s="40">
        <f>H177-I177</f>
        <v>2</v>
      </c>
      <c r="K177" s="67">
        <f>J177/H177</f>
        <v>1</v>
      </c>
      <c r="L177" s="67">
        <f>(0)/F177</f>
        <v>0</v>
      </c>
      <c r="M177" s="67">
        <f>SUM(M174:M176)</f>
        <v>1</v>
      </c>
    </row>
    <row r="178" spans="1:13" hidden="1" outlineLevel="1" x14ac:dyDescent="0.25">
      <c r="A178" s="52" t="s">
        <v>191</v>
      </c>
      <c r="B178" s="8">
        <v>2008</v>
      </c>
      <c r="C178" t="s">
        <v>208</v>
      </c>
      <c r="D178" t="s">
        <v>207</v>
      </c>
      <c r="E178" t="s">
        <v>19</v>
      </c>
      <c r="F178" s="57">
        <v>11559955</v>
      </c>
      <c r="G178" s="57">
        <f>SUM(F178)</f>
        <v>11559955</v>
      </c>
      <c r="H178" s="8">
        <f>COUNTIF(C178:C206, "*Avis Construction*")</f>
        <v>1</v>
      </c>
      <c r="M178" s="66">
        <f>G178/F208</f>
        <v>1.5999978330740842E-2</v>
      </c>
    </row>
    <row r="179" spans="1:13" hidden="1" outlineLevel="1" x14ac:dyDescent="0.25">
      <c r="A179" s="52" t="s">
        <v>191</v>
      </c>
      <c r="B179" s="8">
        <v>2009</v>
      </c>
      <c r="C179" t="s">
        <v>143</v>
      </c>
      <c r="D179" t="s">
        <v>192</v>
      </c>
      <c r="E179" t="s">
        <v>8</v>
      </c>
      <c r="F179" s="57">
        <v>50388670</v>
      </c>
      <c r="M179" s="66"/>
    </row>
    <row r="180" spans="1:13" hidden="1" outlineLevel="1" x14ac:dyDescent="0.25">
      <c r="A180" s="52" t="s">
        <v>191</v>
      </c>
      <c r="B180" s="8">
        <v>2012</v>
      </c>
      <c r="C180" t="s">
        <v>143</v>
      </c>
      <c r="D180" t="s">
        <v>204</v>
      </c>
      <c r="E180" t="s">
        <v>8</v>
      </c>
      <c r="F180" s="57">
        <v>23879669</v>
      </c>
      <c r="M180" s="66"/>
    </row>
    <row r="181" spans="1:13" hidden="1" outlineLevel="1" x14ac:dyDescent="0.25">
      <c r="A181" s="52" t="s">
        <v>191</v>
      </c>
      <c r="B181" s="8">
        <v>2014</v>
      </c>
      <c r="C181" t="s">
        <v>143</v>
      </c>
      <c r="D181" t="s">
        <v>206</v>
      </c>
      <c r="E181" t="s">
        <v>8</v>
      </c>
      <c r="F181" s="57">
        <v>69704066</v>
      </c>
      <c r="M181" s="66"/>
    </row>
    <row r="182" spans="1:13" hidden="1" outlineLevel="1" x14ac:dyDescent="0.25">
      <c r="A182" s="52" t="s">
        <v>191</v>
      </c>
      <c r="B182" s="8">
        <v>2009</v>
      </c>
      <c r="C182" t="s">
        <v>143</v>
      </c>
      <c r="D182" t="s">
        <v>210</v>
      </c>
      <c r="E182" t="s">
        <v>33</v>
      </c>
      <c r="F182" s="57">
        <v>12558008</v>
      </c>
      <c r="G182" s="57">
        <f>SUM(F179:F182)</f>
        <v>156530413</v>
      </c>
      <c r="H182" s="8">
        <f>COUNTIF(C178:C206, "*Barton Malow Company*")</f>
        <v>4</v>
      </c>
      <c r="M182" s="66">
        <f>G182/F208</f>
        <v>0.21665164060776315</v>
      </c>
    </row>
    <row r="183" spans="1:13" hidden="1" outlineLevel="1" x14ac:dyDescent="0.25">
      <c r="A183" s="52" t="s">
        <v>191</v>
      </c>
      <c r="B183" s="8">
        <v>2010</v>
      </c>
      <c r="C183" t="s">
        <v>196</v>
      </c>
      <c r="D183" t="s">
        <v>195</v>
      </c>
      <c r="E183" t="s">
        <v>8</v>
      </c>
      <c r="F183" s="57">
        <v>7052618</v>
      </c>
      <c r="G183" s="57">
        <f>SUM(F183)</f>
        <v>7052618</v>
      </c>
      <c r="H183" s="8">
        <f>COUNTIF(C178:C206, "*BE&amp;K Building Group, LLC.*")</f>
        <v>1</v>
      </c>
      <c r="M183" s="66">
        <f>G183/F208</f>
        <v>9.7614337750443515E-3</v>
      </c>
    </row>
    <row r="184" spans="1:13" hidden="1" outlineLevel="1" x14ac:dyDescent="0.25">
      <c r="A184" s="53" t="s">
        <v>191</v>
      </c>
      <c r="B184" s="39">
        <v>2010</v>
      </c>
      <c r="C184" s="19" t="s">
        <v>75</v>
      </c>
      <c r="D184" s="19" t="s">
        <v>197</v>
      </c>
      <c r="E184" s="19" t="s">
        <v>8</v>
      </c>
      <c r="F184" s="59">
        <v>6648316</v>
      </c>
      <c r="M184" s="66"/>
    </row>
    <row r="185" spans="1:13" hidden="1" outlineLevel="1" x14ac:dyDescent="0.25">
      <c r="A185" s="53" t="s">
        <v>191</v>
      </c>
      <c r="B185" s="39">
        <v>2011</v>
      </c>
      <c r="C185" s="19" t="s">
        <v>75</v>
      </c>
      <c r="D185" s="19" t="s">
        <v>200</v>
      </c>
      <c r="E185" s="19" t="s">
        <v>8</v>
      </c>
      <c r="F185" s="59">
        <v>5246503</v>
      </c>
      <c r="M185" s="66"/>
    </row>
    <row r="186" spans="1:13" hidden="1" outlineLevel="1" x14ac:dyDescent="0.25">
      <c r="A186" s="53" t="s">
        <v>191</v>
      </c>
      <c r="B186" s="39">
        <v>2017</v>
      </c>
      <c r="C186" s="19" t="s">
        <v>75</v>
      </c>
      <c r="D186" s="19" t="s">
        <v>223</v>
      </c>
      <c r="E186" s="19" t="s">
        <v>8</v>
      </c>
      <c r="F186" s="59">
        <v>25605000</v>
      </c>
      <c r="M186" s="66"/>
    </row>
    <row r="187" spans="1:13" hidden="1" outlineLevel="1" x14ac:dyDescent="0.25">
      <c r="A187" s="53" t="s">
        <v>191</v>
      </c>
      <c r="B187" s="39">
        <v>2017</v>
      </c>
      <c r="C187" s="19" t="s">
        <v>75</v>
      </c>
      <c r="D187" s="19" t="s">
        <v>225</v>
      </c>
      <c r="E187" s="19" t="s">
        <v>8</v>
      </c>
      <c r="F187" s="59">
        <v>14144099</v>
      </c>
      <c r="G187" s="57">
        <f>SUM(F184:F187)</f>
        <v>51643918</v>
      </c>
      <c r="H187" s="8">
        <f>COUNTIF(C178:C206,"*Branch &amp; Associates, Inc.*")</f>
        <v>4</v>
      </c>
      <c r="M187" s="66">
        <f>G187/F208</f>
        <v>7.1479652724820902E-2</v>
      </c>
    </row>
    <row r="188" spans="1:13" hidden="1" outlineLevel="1" x14ac:dyDescent="0.25">
      <c r="A188" s="53" t="s">
        <v>191</v>
      </c>
      <c r="B188" s="39">
        <v>2013</v>
      </c>
      <c r="C188" s="19" t="s">
        <v>337</v>
      </c>
      <c r="D188" s="19" t="s">
        <v>216</v>
      </c>
      <c r="E188" s="19" t="s">
        <v>217</v>
      </c>
      <c r="F188" s="59">
        <v>14000000</v>
      </c>
      <c r="G188" s="57">
        <f>SUM(F188)</f>
        <v>14000000</v>
      </c>
      <c r="H188" s="8">
        <f>COUNTIF(C178:C206, "*Capital Lease*")</f>
        <v>1</v>
      </c>
      <c r="M188" s="66">
        <f>G188/F208</f>
        <v>1.9377211817033179E-2</v>
      </c>
    </row>
    <row r="189" spans="1:13" hidden="1" outlineLevel="1" x14ac:dyDescent="0.25">
      <c r="A189" s="53" t="s">
        <v>191</v>
      </c>
      <c r="B189" s="39">
        <v>2011</v>
      </c>
      <c r="C189" s="19" t="s">
        <v>141</v>
      </c>
      <c r="D189" s="19" t="s">
        <v>211</v>
      </c>
      <c r="E189" s="19" t="s">
        <v>33</v>
      </c>
      <c r="F189" s="59">
        <v>10780000</v>
      </c>
      <c r="G189" s="57">
        <f>SUM(F189)</f>
        <v>10780000</v>
      </c>
      <c r="H189" s="8">
        <f>COUNTIF(C178:C206, "*DPR Construction, Inc.*")</f>
        <v>1</v>
      </c>
      <c r="M189" s="66">
        <f>G189/F208</f>
        <v>1.4920453099115549E-2</v>
      </c>
    </row>
    <row r="190" spans="1:13" hidden="1" outlineLevel="1" x14ac:dyDescent="0.25">
      <c r="A190" s="53" t="s">
        <v>191</v>
      </c>
      <c r="B190" s="39">
        <v>2011</v>
      </c>
      <c r="C190" s="19" t="s">
        <v>146</v>
      </c>
      <c r="D190" s="19" t="s">
        <v>202</v>
      </c>
      <c r="E190" s="19" t="s">
        <v>8</v>
      </c>
      <c r="F190" s="59">
        <v>66358823</v>
      </c>
      <c r="G190" s="57">
        <f>SUM(F190)</f>
        <v>66358823</v>
      </c>
      <c r="H190" s="8">
        <f>COUNTIF(C178:C206, "*Gilbane Building Company*")</f>
        <v>1</v>
      </c>
      <c r="M190" s="66">
        <f>G190/F208</f>
        <v>9.1846354942858088E-2</v>
      </c>
    </row>
    <row r="191" spans="1:13" hidden="1" outlineLevel="1" x14ac:dyDescent="0.25">
      <c r="A191" s="53" t="s">
        <v>191</v>
      </c>
      <c r="B191" s="39">
        <v>2011</v>
      </c>
      <c r="C191" s="19" t="s">
        <v>178</v>
      </c>
      <c r="D191" s="19" t="s">
        <v>198</v>
      </c>
      <c r="E191" s="19" t="s">
        <v>8</v>
      </c>
      <c r="F191" s="59">
        <v>71990000</v>
      </c>
      <c r="G191" s="57">
        <f>SUM(F191)</f>
        <v>71990000</v>
      </c>
      <c r="H191" s="8">
        <f>COUNTIF(C178:C206, "*Holder Construction Group, LLC.*")</f>
        <v>1</v>
      </c>
      <c r="M191" s="66">
        <f>G191/F208</f>
        <v>9.9640391336301329E-2</v>
      </c>
    </row>
    <row r="192" spans="1:13" hidden="1" outlineLevel="1" x14ac:dyDescent="0.25">
      <c r="A192" s="53" t="s">
        <v>191</v>
      </c>
      <c r="B192" s="39">
        <v>2012</v>
      </c>
      <c r="C192" s="19" t="s">
        <v>215</v>
      </c>
      <c r="D192" s="19" t="s">
        <v>213</v>
      </c>
      <c r="E192" s="19" t="s">
        <v>214</v>
      </c>
      <c r="F192" s="59">
        <v>16508000</v>
      </c>
      <c r="G192" s="57">
        <f>SUM(F192)</f>
        <v>16508000</v>
      </c>
      <c r="H192" s="8">
        <f>COUNTIF(C178:C206, "*Internal Forces*")</f>
        <v>1</v>
      </c>
      <c r="M192" s="66">
        <f>G192/F208</f>
        <v>2.2848500905398837E-2</v>
      </c>
    </row>
    <row r="193" spans="1:13" hidden="1" outlineLevel="1" x14ac:dyDescent="0.25">
      <c r="A193" s="53" t="s">
        <v>191</v>
      </c>
      <c r="B193" s="39">
        <v>2009</v>
      </c>
      <c r="C193" s="19" t="s">
        <v>220</v>
      </c>
      <c r="D193" s="19" t="s">
        <v>219</v>
      </c>
      <c r="E193" s="19" t="s">
        <v>44</v>
      </c>
      <c r="F193" s="59">
        <v>59000000</v>
      </c>
      <c r="M193" s="66"/>
    </row>
    <row r="194" spans="1:13" hidden="1" outlineLevel="1" x14ac:dyDescent="0.25">
      <c r="A194" s="53" t="s">
        <v>191</v>
      </c>
      <c r="B194" s="39">
        <v>2011</v>
      </c>
      <c r="C194" s="19" t="s">
        <v>220</v>
      </c>
      <c r="D194" s="19" t="s">
        <v>221</v>
      </c>
      <c r="E194" s="19" t="s">
        <v>44</v>
      </c>
      <c r="F194" s="59">
        <v>9600000</v>
      </c>
      <c r="G194" s="57">
        <f>SUM(F193:F194)</f>
        <v>68600000</v>
      </c>
      <c r="H194" s="8">
        <f>COUNTIF(C178:C206, "*n/a*")</f>
        <v>2</v>
      </c>
      <c r="M194" s="66">
        <f>G194/F208</f>
        <v>9.4948337903462576E-2</v>
      </c>
    </row>
    <row r="195" spans="1:13" hidden="1" outlineLevel="1" x14ac:dyDescent="0.25">
      <c r="A195" s="53" t="s">
        <v>191</v>
      </c>
      <c r="B195" s="39">
        <v>2009</v>
      </c>
      <c r="C195" s="19" t="s">
        <v>52</v>
      </c>
      <c r="D195" s="19" t="s">
        <v>193</v>
      </c>
      <c r="E195" s="19" t="s">
        <v>8</v>
      </c>
      <c r="F195" s="59">
        <v>24134503</v>
      </c>
      <c r="M195" s="66"/>
    </row>
    <row r="196" spans="1:13" hidden="1" outlineLevel="1" x14ac:dyDescent="0.25">
      <c r="A196" s="53" t="s">
        <v>191</v>
      </c>
      <c r="B196" s="39">
        <v>2011</v>
      </c>
      <c r="C196" s="19" t="s">
        <v>52</v>
      </c>
      <c r="D196" s="19" t="s">
        <v>199</v>
      </c>
      <c r="E196" s="19" t="s">
        <v>8</v>
      </c>
      <c r="F196" s="59">
        <v>33376000</v>
      </c>
      <c r="M196" s="66"/>
    </row>
    <row r="197" spans="1:13" hidden="1" outlineLevel="1" x14ac:dyDescent="0.25">
      <c r="A197" s="53" t="s">
        <v>191</v>
      </c>
      <c r="B197" s="39">
        <v>2011</v>
      </c>
      <c r="C197" s="19" t="s">
        <v>52</v>
      </c>
      <c r="D197" s="19" t="s">
        <v>203</v>
      </c>
      <c r="E197" s="19" t="s">
        <v>8</v>
      </c>
      <c r="F197" s="59">
        <v>42084845</v>
      </c>
      <c r="G197" s="57">
        <f>SUM(F195:F197)</f>
        <v>99595348</v>
      </c>
      <c r="H197" s="8">
        <f>COUNTIF(C178:C206, "*Skanska USA Building*")</f>
        <v>3</v>
      </c>
      <c r="M197" s="66">
        <f>G197/F208</f>
        <v>0.13784858244193798</v>
      </c>
    </row>
    <row r="198" spans="1:13" hidden="1" outlineLevel="1" x14ac:dyDescent="0.25">
      <c r="A198" s="53" t="s">
        <v>191</v>
      </c>
      <c r="B198" s="39">
        <v>2008</v>
      </c>
      <c r="C198" s="19" t="s">
        <v>136</v>
      </c>
      <c r="D198" s="19" t="s">
        <v>209</v>
      </c>
      <c r="E198" s="19" t="s">
        <v>33</v>
      </c>
      <c r="F198" s="59">
        <v>19548000</v>
      </c>
      <c r="G198" s="57">
        <f>SUM(F198)</f>
        <v>19548000</v>
      </c>
      <c r="H198" s="8">
        <f>COUNTIF(C178:C206, "*The Christman Company*")</f>
        <v>1</v>
      </c>
      <c r="M198" s="66">
        <f>G198/F208</f>
        <v>2.7056124042811758E-2</v>
      </c>
    </row>
    <row r="199" spans="1:13" hidden="1" outlineLevel="1" x14ac:dyDescent="0.25">
      <c r="A199" s="53" t="s">
        <v>191</v>
      </c>
      <c r="B199" s="39">
        <v>2011</v>
      </c>
      <c r="C199" s="19" t="s">
        <v>9</v>
      </c>
      <c r="D199" s="19" t="s">
        <v>201</v>
      </c>
      <c r="E199" s="19" t="s">
        <v>8</v>
      </c>
      <c r="F199" s="59">
        <v>9500000</v>
      </c>
      <c r="M199" s="66"/>
    </row>
    <row r="200" spans="1:13" hidden="1" outlineLevel="1" x14ac:dyDescent="0.25">
      <c r="A200" s="53" t="s">
        <v>191</v>
      </c>
      <c r="B200" s="39">
        <v>2014</v>
      </c>
      <c r="C200" s="19" t="s">
        <v>9</v>
      </c>
      <c r="D200" s="19" t="s">
        <v>212</v>
      </c>
      <c r="E200" s="19" t="s">
        <v>33</v>
      </c>
      <c r="F200" s="59">
        <v>18000000</v>
      </c>
      <c r="M200" s="66"/>
    </row>
    <row r="201" spans="1:13" hidden="1" outlineLevel="1" x14ac:dyDescent="0.25">
      <c r="A201" s="53" t="s">
        <v>191</v>
      </c>
      <c r="B201" s="39">
        <v>2015</v>
      </c>
      <c r="C201" s="19" t="s">
        <v>9</v>
      </c>
      <c r="D201" s="19" t="s">
        <v>222</v>
      </c>
      <c r="E201" s="19" t="s">
        <v>8</v>
      </c>
      <c r="F201" s="59">
        <v>30600000</v>
      </c>
      <c r="M201" s="66"/>
    </row>
    <row r="202" spans="1:13" hidden="1" outlineLevel="1" x14ac:dyDescent="0.25">
      <c r="A202" s="87" t="s">
        <v>191</v>
      </c>
      <c r="B202" s="106">
        <v>2017</v>
      </c>
      <c r="C202" s="21" t="s">
        <v>9</v>
      </c>
      <c r="D202" s="21" t="s">
        <v>226</v>
      </c>
      <c r="E202" s="21" t="s">
        <v>8</v>
      </c>
      <c r="F202" s="56">
        <v>15968301</v>
      </c>
      <c r="G202" s="57">
        <f>SUM(F199:F202)</f>
        <v>74068301</v>
      </c>
      <c r="H202" s="8">
        <f>COUNTIF(C178:C206, "*W.M. Jordan Company, Inc.*")</f>
        <v>4</v>
      </c>
      <c r="M202" s="66">
        <f>G202/F208</f>
        <v>0.10251693981462646</v>
      </c>
    </row>
    <row r="203" spans="1:13" hidden="1" outlineLevel="1" x14ac:dyDescent="0.25">
      <c r="A203" s="53" t="s">
        <v>191</v>
      </c>
      <c r="B203" s="39">
        <v>2008</v>
      </c>
      <c r="C203" s="19" t="s">
        <v>11</v>
      </c>
      <c r="D203" s="19" t="s">
        <v>102</v>
      </c>
      <c r="E203" s="19" t="s">
        <v>8</v>
      </c>
      <c r="F203" s="59">
        <v>16190706</v>
      </c>
      <c r="M203" s="66"/>
    </row>
    <row r="204" spans="1:13" hidden="1" outlineLevel="1" x14ac:dyDescent="0.25">
      <c r="A204" s="53" t="s">
        <v>191</v>
      </c>
      <c r="B204" s="39">
        <v>2009</v>
      </c>
      <c r="C204" s="19" t="s">
        <v>11</v>
      </c>
      <c r="D204" s="19" t="s">
        <v>194</v>
      </c>
      <c r="E204" s="19" t="s">
        <v>8</v>
      </c>
      <c r="F204" s="59">
        <v>8360843</v>
      </c>
      <c r="M204" s="66"/>
    </row>
    <row r="205" spans="1:13" hidden="1" outlineLevel="1" x14ac:dyDescent="0.25">
      <c r="A205" s="53" t="s">
        <v>191</v>
      </c>
      <c r="B205" s="39">
        <v>2012</v>
      </c>
      <c r="C205" s="19" t="s">
        <v>11</v>
      </c>
      <c r="D205" s="19" t="s">
        <v>205</v>
      </c>
      <c r="E205" s="19" t="s">
        <v>8</v>
      </c>
      <c r="F205" s="59">
        <v>15382088</v>
      </c>
      <c r="M205" s="66"/>
    </row>
    <row r="206" spans="1:13" hidden="1" outlineLevel="1" x14ac:dyDescent="0.25">
      <c r="A206" s="87" t="s">
        <v>191</v>
      </c>
      <c r="B206" s="106">
        <v>2017</v>
      </c>
      <c r="C206" s="21" t="s">
        <v>11</v>
      </c>
      <c r="D206" s="21" t="s">
        <v>224</v>
      </c>
      <c r="E206" s="21" t="s">
        <v>33</v>
      </c>
      <c r="F206" s="56">
        <v>14329153</v>
      </c>
      <c r="G206" s="57">
        <f>SUM(F203:F206)</f>
        <v>54262790</v>
      </c>
      <c r="H206" s="8">
        <f>COUNTIF(C178:C206, "*Whiting-Turner Contracting Co*")</f>
        <v>4</v>
      </c>
      <c r="M206" s="66">
        <f>G206/F208</f>
        <v>7.5104398258084987E-2</v>
      </c>
    </row>
    <row r="207" spans="1:13" hidden="1" outlineLevel="1" x14ac:dyDescent="0.25">
      <c r="A207" s="87"/>
      <c r="B207" s="106"/>
      <c r="C207" s="21"/>
      <c r="D207" s="21"/>
      <c r="E207" s="21"/>
      <c r="F207" s="56"/>
      <c r="G207" s="57"/>
      <c r="M207" s="66"/>
    </row>
    <row r="208" spans="1:13" s="8" customFormat="1" collapsed="1" x14ac:dyDescent="0.25">
      <c r="A208" s="88" t="s">
        <v>336</v>
      </c>
      <c r="B208" s="40"/>
      <c r="C208" s="40"/>
      <c r="D208" s="40"/>
      <c r="E208" s="40"/>
      <c r="F208" s="58">
        <f>SUM(F178:F207)</f>
        <v>722498166</v>
      </c>
      <c r="G208" s="58">
        <f>SUM(G178:G207)</f>
        <v>722498166</v>
      </c>
      <c r="H208" s="40">
        <f>SUM(H178:H207)</f>
        <v>29</v>
      </c>
      <c r="I208" s="40">
        <f>COUNTIF(E178:E207, "*Competitive Bid*")</f>
        <v>1</v>
      </c>
      <c r="J208" s="40">
        <f>H208-I208</f>
        <v>28</v>
      </c>
      <c r="K208" s="67">
        <f>J208/H208</f>
        <v>0.96551724137931039</v>
      </c>
      <c r="L208" s="67">
        <f>(F178)/F208</f>
        <v>1.5999978330740842E-2</v>
      </c>
      <c r="M208" s="67">
        <f>SUM(M178:M207)</f>
        <v>1</v>
      </c>
    </row>
    <row r="209" spans="1:13" hidden="1" outlineLevel="1" x14ac:dyDescent="0.25">
      <c r="A209" s="52" t="s">
        <v>227</v>
      </c>
      <c r="B209" s="8">
        <v>2009</v>
      </c>
      <c r="C209" t="s">
        <v>143</v>
      </c>
      <c r="D209" t="s">
        <v>232</v>
      </c>
      <c r="E209" t="s">
        <v>8</v>
      </c>
      <c r="F209" s="57">
        <v>24140648</v>
      </c>
      <c r="G209" s="57">
        <f>SUM(F209)</f>
        <v>24140648</v>
      </c>
      <c r="H209" s="8">
        <f>COUNTIF(C209:C232, "*Barton Malow Company*")</f>
        <v>1</v>
      </c>
      <c r="M209" s="66">
        <f>G209/F234</f>
        <v>5.1275312571246401E-2</v>
      </c>
    </row>
    <row r="210" spans="1:13" hidden="1" outlineLevel="1" x14ac:dyDescent="0.25">
      <c r="A210" s="52" t="s">
        <v>227</v>
      </c>
      <c r="B210" s="8">
        <v>2014</v>
      </c>
      <c r="C210" t="s">
        <v>75</v>
      </c>
      <c r="D210" t="s">
        <v>240</v>
      </c>
      <c r="E210" t="s">
        <v>19</v>
      </c>
      <c r="F210" s="57">
        <v>24698825</v>
      </c>
    </row>
    <row r="211" spans="1:13" hidden="1" outlineLevel="1" x14ac:dyDescent="0.25">
      <c r="A211" s="52" t="s">
        <v>227</v>
      </c>
      <c r="B211" s="8">
        <v>2018</v>
      </c>
      <c r="C211" t="s">
        <v>75</v>
      </c>
      <c r="D211" t="s">
        <v>390</v>
      </c>
      <c r="E211" t="s">
        <v>8</v>
      </c>
      <c r="F211" s="57">
        <v>23058000</v>
      </c>
      <c r="G211" s="57">
        <f>SUM(F210:F211)</f>
        <v>47756825</v>
      </c>
      <c r="H211" s="8">
        <f>COUNTIF(C209:C232, "*Branch &amp; Associates, Inc.*")</f>
        <v>2</v>
      </c>
      <c r="M211" s="66">
        <f>G211/F234</f>
        <v>0.10143663621976155</v>
      </c>
    </row>
    <row r="212" spans="1:13" hidden="1" outlineLevel="1" x14ac:dyDescent="0.25">
      <c r="A212" s="53" t="s">
        <v>227</v>
      </c>
      <c r="B212" s="39">
        <v>2017</v>
      </c>
      <c r="C212" s="19" t="s">
        <v>49</v>
      </c>
      <c r="D212" s="19" t="s">
        <v>230</v>
      </c>
      <c r="E212" s="19" t="s">
        <v>8</v>
      </c>
      <c r="F212" s="59">
        <v>26416758</v>
      </c>
      <c r="G212" s="59">
        <f>SUM(F212)</f>
        <v>26416758</v>
      </c>
      <c r="H212" s="8">
        <f>COUNTIF(C209:C232, "*Donley's LLC.*")</f>
        <v>1</v>
      </c>
      <c r="M212" s="66">
        <f>G212/F234</f>
        <v>5.6109824540292945E-2</v>
      </c>
    </row>
    <row r="213" spans="1:13" hidden="1" outlineLevel="1" x14ac:dyDescent="0.25">
      <c r="A213" s="52" t="s">
        <v>227</v>
      </c>
      <c r="B213" s="8">
        <v>2010</v>
      </c>
      <c r="C213" t="s">
        <v>146</v>
      </c>
      <c r="D213" t="s">
        <v>233</v>
      </c>
      <c r="E213" t="s">
        <v>8</v>
      </c>
      <c r="F213" s="57">
        <v>22719587</v>
      </c>
      <c r="M213" s="66"/>
    </row>
    <row r="214" spans="1:13" hidden="1" outlineLevel="1" x14ac:dyDescent="0.25">
      <c r="A214" s="52" t="s">
        <v>227</v>
      </c>
      <c r="B214" s="8">
        <v>2010</v>
      </c>
      <c r="C214" t="s">
        <v>146</v>
      </c>
      <c r="D214" t="s">
        <v>243</v>
      </c>
      <c r="E214" t="s">
        <v>8</v>
      </c>
      <c r="F214" s="57">
        <v>36000000</v>
      </c>
      <c r="G214" s="57">
        <f>SUM(F213:F214)</f>
        <v>58719587</v>
      </c>
      <c r="H214" s="8">
        <f>COUNTIF(C210:C234, "*Gilbane Building Company*")</f>
        <v>2</v>
      </c>
      <c r="M214" s="66">
        <f>G214/F234</f>
        <v>0.12472180438070662</v>
      </c>
    </row>
    <row r="215" spans="1:13" hidden="1" outlineLevel="1" x14ac:dyDescent="0.25">
      <c r="A215" s="52" t="s">
        <v>227</v>
      </c>
      <c r="B215" s="8">
        <v>2014</v>
      </c>
      <c r="C215" t="s">
        <v>239</v>
      </c>
      <c r="D215" t="s">
        <v>238</v>
      </c>
      <c r="E215" t="s">
        <v>19</v>
      </c>
      <c r="F215" s="57">
        <v>11109600</v>
      </c>
    </row>
    <row r="216" spans="1:13" hidden="1" outlineLevel="1" x14ac:dyDescent="0.25">
      <c r="A216" s="52" t="s">
        <v>227</v>
      </c>
      <c r="B216" s="8">
        <v>2018</v>
      </c>
      <c r="C216" t="s">
        <v>239</v>
      </c>
      <c r="D216" t="s">
        <v>386</v>
      </c>
      <c r="E216" t="s">
        <v>19</v>
      </c>
      <c r="F216" s="57">
        <v>18702000</v>
      </c>
      <c r="G216" s="57">
        <f>SUM(F215:F216)</f>
        <v>29811600</v>
      </c>
      <c r="H216" s="8">
        <f>COUNTIF(C210:C232, "*Grunley Construction Company, Inc.*")</f>
        <v>2</v>
      </c>
      <c r="M216" s="66">
        <f>G216/F234</f>
        <v>6.3320549980637186E-2</v>
      </c>
    </row>
    <row r="217" spans="1:13" hidden="1" outlineLevel="1" x14ac:dyDescent="0.25">
      <c r="A217" s="53" t="s">
        <v>227</v>
      </c>
      <c r="B217" s="39">
        <v>2010</v>
      </c>
      <c r="C217" s="19" t="s">
        <v>34</v>
      </c>
      <c r="D217" s="19" t="s">
        <v>234</v>
      </c>
      <c r="E217" s="19" t="s">
        <v>8</v>
      </c>
      <c r="F217" s="59">
        <v>18237546</v>
      </c>
      <c r="G217" s="59">
        <f>SUM(F217)</f>
        <v>18237546</v>
      </c>
      <c r="H217" s="8">
        <f>COUNTIF(C210:C234, "*Hess Construction Company*")</f>
        <v>1</v>
      </c>
      <c r="M217" s="66">
        <f>G217/F234</f>
        <v>3.8736983020608413E-2</v>
      </c>
    </row>
    <row r="218" spans="1:13" hidden="1" outlineLevel="1" x14ac:dyDescent="0.25">
      <c r="A218" s="53" t="s">
        <v>227</v>
      </c>
      <c r="B218" s="39">
        <v>2017</v>
      </c>
      <c r="C218" s="19" t="s">
        <v>229</v>
      </c>
      <c r="D218" s="19" t="s">
        <v>228</v>
      </c>
      <c r="E218" s="19" t="s">
        <v>8</v>
      </c>
      <c r="F218" s="59">
        <v>13150000</v>
      </c>
      <c r="G218" s="53"/>
      <c r="M218" s="66"/>
    </row>
    <row r="219" spans="1:13" hidden="1" outlineLevel="1" x14ac:dyDescent="0.25">
      <c r="A219" s="53" t="s">
        <v>227</v>
      </c>
      <c r="B219" s="39">
        <v>2014</v>
      </c>
      <c r="C219" s="19" t="s">
        <v>229</v>
      </c>
      <c r="D219" s="19" t="s">
        <v>246</v>
      </c>
      <c r="E219" s="19" t="s">
        <v>8</v>
      </c>
      <c r="F219" s="59">
        <v>12151212</v>
      </c>
      <c r="G219" s="59">
        <f>SUM(F218:F219)</f>
        <v>25301212</v>
      </c>
      <c r="H219" s="8">
        <f>COUNTIF(C210:C234, "*Hourigan Construction*")</f>
        <v>2</v>
      </c>
      <c r="M219" s="66">
        <f>G219/F234</f>
        <v>5.3740378209042698E-2</v>
      </c>
    </row>
    <row r="220" spans="1:13" hidden="1" outlineLevel="1" x14ac:dyDescent="0.25">
      <c r="A220" s="53" t="s">
        <v>227</v>
      </c>
      <c r="B220" s="39">
        <v>2018</v>
      </c>
      <c r="C220" s="19" t="s">
        <v>388</v>
      </c>
      <c r="D220" s="19" t="s">
        <v>387</v>
      </c>
      <c r="E220" s="19" t="s">
        <v>19</v>
      </c>
      <c r="F220" s="59">
        <v>12136212</v>
      </c>
      <c r="G220" s="59">
        <f>SUM(F220)</f>
        <v>12136212</v>
      </c>
      <c r="H220" s="8">
        <f>COUNTIF(C209:C233, "*Kenbridge Construction Co., Inc.*")</f>
        <v>1</v>
      </c>
      <c r="M220" s="66">
        <f>G220/F234</f>
        <v>2.5777603970320574E-2</v>
      </c>
    </row>
    <row r="221" spans="1:13" hidden="1" outlineLevel="1" x14ac:dyDescent="0.25">
      <c r="A221" s="53" t="s">
        <v>227</v>
      </c>
      <c r="B221" s="39">
        <v>2017</v>
      </c>
      <c r="C221" s="19" t="s">
        <v>58</v>
      </c>
      <c r="D221" s="19" t="s">
        <v>385</v>
      </c>
      <c r="E221" s="19" t="s">
        <v>8</v>
      </c>
      <c r="F221" s="59">
        <v>15394218</v>
      </c>
      <c r="G221" s="59"/>
      <c r="M221" s="66"/>
    </row>
    <row r="222" spans="1:13" hidden="1" outlineLevel="1" x14ac:dyDescent="0.25">
      <c r="A222" s="87" t="s">
        <v>227</v>
      </c>
      <c r="B222" s="106">
        <v>2017</v>
      </c>
      <c r="C222" s="21" t="s">
        <v>58</v>
      </c>
      <c r="D222" s="21" t="s">
        <v>231</v>
      </c>
      <c r="E222" s="21" t="s">
        <v>8</v>
      </c>
      <c r="F222" s="56">
        <v>20613000</v>
      </c>
      <c r="G222" s="59">
        <f>SUM(F221:F222)</f>
        <v>36007218</v>
      </c>
      <c r="H222" s="8">
        <f>COUNTIF(C200:C224, "*Kjellstrom &amp; Lee*")</f>
        <v>2</v>
      </c>
      <c r="M222" s="66">
        <f>G222/F234</f>
        <v>7.6480190497413725E-2</v>
      </c>
    </row>
    <row r="223" spans="1:13" hidden="1" outlineLevel="1" x14ac:dyDescent="0.25">
      <c r="A223" s="87" t="s">
        <v>227</v>
      </c>
      <c r="B223" s="106">
        <v>2017</v>
      </c>
      <c r="C223" s="21" t="s">
        <v>392</v>
      </c>
      <c r="D223" s="21" t="s">
        <v>391</v>
      </c>
      <c r="E223" s="21" t="s">
        <v>19</v>
      </c>
      <c r="F223" s="56">
        <v>14713173</v>
      </c>
      <c r="G223" s="59">
        <f>SUM(F223)</f>
        <v>14713173</v>
      </c>
      <c r="H223" s="8">
        <f>COUNTIF(C209:C233, "*McKenzie Construction Corporation*")</f>
        <v>1</v>
      </c>
      <c r="M223" s="66">
        <f>G223/F234</f>
        <v>3.12511306444559E-2</v>
      </c>
    </row>
    <row r="224" spans="1:13" hidden="1" outlineLevel="1" x14ac:dyDescent="0.25">
      <c r="A224" s="53" t="s">
        <v>227</v>
      </c>
      <c r="B224" s="39">
        <v>2009</v>
      </c>
      <c r="C224" s="19" t="s">
        <v>69</v>
      </c>
      <c r="D224" s="19" t="s">
        <v>241</v>
      </c>
      <c r="E224" s="19" t="s">
        <v>8</v>
      </c>
      <c r="F224" s="59">
        <v>15439851</v>
      </c>
      <c r="G224" s="53"/>
      <c r="M224" s="66"/>
    </row>
    <row r="225" spans="1:13" hidden="1" outlineLevel="1" x14ac:dyDescent="0.25">
      <c r="A225" s="53" t="s">
        <v>227</v>
      </c>
      <c r="B225" s="39">
        <v>2011</v>
      </c>
      <c r="C225" s="19" t="s">
        <v>69</v>
      </c>
      <c r="D225" s="19" t="s">
        <v>245</v>
      </c>
      <c r="E225" s="19" t="s">
        <v>8</v>
      </c>
      <c r="F225" s="59">
        <v>38736573</v>
      </c>
      <c r="G225" s="53"/>
      <c r="M225" s="66"/>
    </row>
    <row r="226" spans="1:13" hidden="1" outlineLevel="1" x14ac:dyDescent="0.25">
      <c r="A226" s="53" t="s">
        <v>227</v>
      </c>
      <c r="B226" s="39">
        <v>2014</v>
      </c>
      <c r="C226" s="19" t="s">
        <v>69</v>
      </c>
      <c r="D226" s="19" t="s">
        <v>247</v>
      </c>
      <c r="E226" s="19" t="s">
        <v>8</v>
      </c>
      <c r="F226" s="59">
        <v>18956502</v>
      </c>
      <c r="G226" s="53"/>
      <c r="M226" s="66"/>
    </row>
    <row r="227" spans="1:13" hidden="1" outlineLevel="1" x14ac:dyDescent="0.25">
      <c r="A227" s="87" t="s">
        <v>227</v>
      </c>
      <c r="B227" s="106">
        <v>2011</v>
      </c>
      <c r="C227" s="21" t="s">
        <v>69</v>
      </c>
      <c r="D227" s="21" t="s">
        <v>248</v>
      </c>
      <c r="E227" s="21" t="s">
        <v>19</v>
      </c>
      <c r="F227" s="56">
        <v>10573813</v>
      </c>
      <c r="G227" s="59">
        <f>SUM(F224:F227)</f>
        <v>83706739</v>
      </c>
      <c r="H227" s="8">
        <f>COUNTIF(C213:C236, "*S.B. Ballard Construction Company*")</f>
        <v>4</v>
      </c>
      <c r="M227" s="66">
        <f>G227/F234</f>
        <v>0.17779511165337158</v>
      </c>
    </row>
    <row r="228" spans="1:13" hidden="1" outlineLevel="1" x14ac:dyDescent="0.25">
      <c r="A228" s="53" t="s">
        <v>227</v>
      </c>
      <c r="B228" s="39">
        <v>2013</v>
      </c>
      <c r="C228" s="19" t="s">
        <v>125</v>
      </c>
      <c r="D228" s="19" t="s">
        <v>237</v>
      </c>
      <c r="E228" s="19" t="s">
        <v>19</v>
      </c>
      <c r="F228" s="59">
        <v>11674470</v>
      </c>
      <c r="G228" s="59">
        <f>SUM(F228)</f>
        <v>11674470</v>
      </c>
      <c r="H228" s="8">
        <f>COUNTIF(C213:C236, "*Sigal Construction Corp.*")</f>
        <v>1</v>
      </c>
      <c r="M228" s="66">
        <f>G228/F234</f>
        <v>2.479685294088373E-2</v>
      </c>
    </row>
    <row r="229" spans="1:13" hidden="1" outlineLevel="1" x14ac:dyDescent="0.25">
      <c r="A229" s="53" t="s">
        <v>227</v>
      </c>
      <c r="B229" s="39">
        <v>2010</v>
      </c>
      <c r="C229" s="19" t="s">
        <v>52</v>
      </c>
      <c r="D229" s="19" t="s">
        <v>244</v>
      </c>
      <c r="E229" s="19" t="s">
        <v>8</v>
      </c>
      <c r="F229" s="59">
        <v>16395401</v>
      </c>
      <c r="G229" s="59">
        <f>SUM(F229)</f>
        <v>16395401</v>
      </c>
      <c r="H229" s="8">
        <f>COUNTIF(C213:C236, "*Skanska USA Building*")</f>
        <v>1</v>
      </c>
      <c r="M229" s="66">
        <f>G229/F234</f>
        <v>3.4824223069982452E-2</v>
      </c>
    </row>
    <row r="230" spans="1:13" hidden="1" outlineLevel="1" x14ac:dyDescent="0.25">
      <c r="A230" s="53" t="s">
        <v>227</v>
      </c>
      <c r="B230" s="39">
        <v>2011</v>
      </c>
      <c r="C230" s="19" t="s">
        <v>11</v>
      </c>
      <c r="D230" s="19" t="s">
        <v>235</v>
      </c>
      <c r="E230" s="19" t="s">
        <v>8</v>
      </c>
      <c r="F230" s="59">
        <v>27386900</v>
      </c>
      <c r="G230" s="53"/>
      <c r="M230" s="66"/>
    </row>
    <row r="231" spans="1:13" hidden="1" outlineLevel="1" x14ac:dyDescent="0.25">
      <c r="A231" s="53" t="s">
        <v>227</v>
      </c>
      <c r="B231" s="39">
        <v>2014</v>
      </c>
      <c r="C231" s="19" t="s">
        <v>11</v>
      </c>
      <c r="D231" s="19" t="s">
        <v>236</v>
      </c>
      <c r="E231" s="19" t="s">
        <v>8</v>
      </c>
      <c r="F231" s="59">
        <v>18887949</v>
      </c>
      <c r="G231" s="53"/>
      <c r="M231" s="66"/>
    </row>
    <row r="232" spans="1:13" hidden="1" outlineLevel="1" x14ac:dyDescent="0.25">
      <c r="A232" s="53" t="s">
        <v>227</v>
      </c>
      <c r="B232" s="39">
        <v>2009</v>
      </c>
      <c r="C232" s="19" t="s">
        <v>11</v>
      </c>
      <c r="D232" s="19" t="s">
        <v>242</v>
      </c>
      <c r="E232" s="19" t="s">
        <v>8</v>
      </c>
      <c r="F232" s="59">
        <v>19512264</v>
      </c>
      <c r="G232" s="59">
        <f>SUM(F230:F232)</f>
        <v>65787113</v>
      </c>
      <c r="H232" s="8">
        <f>COUNTIF(C213:C236, "*Whiting-Turner Contracting Co*")</f>
        <v>3</v>
      </c>
      <c r="M232" s="66">
        <f>G232/F234</f>
        <v>0.13973339830127623</v>
      </c>
    </row>
    <row r="233" spans="1:13" hidden="1" outlineLevel="1" x14ac:dyDescent="0.25">
      <c r="A233" s="53"/>
      <c r="B233" s="39"/>
      <c r="C233" s="19"/>
      <c r="D233" s="19"/>
      <c r="E233" s="19"/>
      <c r="F233" s="59"/>
      <c r="G233" s="59"/>
      <c r="M233" s="66"/>
    </row>
    <row r="234" spans="1:13" s="8" customFormat="1" collapsed="1" x14ac:dyDescent="0.25">
      <c r="A234" s="88" t="s">
        <v>338</v>
      </c>
      <c r="B234" s="40"/>
      <c r="C234" s="40"/>
      <c r="D234" s="40"/>
      <c r="E234" s="40"/>
      <c r="F234" s="58">
        <f>SUM(F209:F233)</f>
        <v>470804502</v>
      </c>
      <c r="G234" s="58">
        <f>SUM(G209:G233)</f>
        <v>470804502</v>
      </c>
      <c r="H234" s="40">
        <f>SUM(H209:H233)</f>
        <v>24</v>
      </c>
      <c r="I234" s="40">
        <f>COUNTIF(E209:E233, "*Competitive Bid*")</f>
        <v>7</v>
      </c>
      <c r="J234" s="40">
        <f>H234-I234</f>
        <v>17</v>
      </c>
      <c r="K234" s="67">
        <f>J234/H234</f>
        <v>0.70833333333333337</v>
      </c>
      <c r="L234" s="67">
        <f>(F210+F215+F227+F228+F216+F220+F223)/F234</f>
        <v>0.22006606257983488</v>
      </c>
      <c r="M234" s="67">
        <f>SUM(M209:M233)</f>
        <v>1</v>
      </c>
    </row>
    <row r="235" spans="1:13" hidden="1" outlineLevel="1" x14ac:dyDescent="0.25">
      <c r="A235" s="52" t="s">
        <v>249</v>
      </c>
      <c r="B235" s="8">
        <v>2014</v>
      </c>
      <c r="C235" t="s">
        <v>31</v>
      </c>
      <c r="D235" t="s">
        <v>259</v>
      </c>
      <c r="E235" t="s">
        <v>8</v>
      </c>
      <c r="F235" s="57">
        <v>12058600</v>
      </c>
      <c r="G235" s="57">
        <f>SUM(F235)</f>
        <v>12058600</v>
      </c>
      <c r="H235" s="8">
        <f>COUNTIF(C235:C257, "*Balfour Beatty Construction, LLC.*")</f>
        <v>1</v>
      </c>
      <c r="M235" s="66">
        <f>G235/F258</f>
        <v>1.7182722666770869E-2</v>
      </c>
    </row>
    <row r="236" spans="1:13" hidden="1" outlineLevel="1" x14ac:dyDescent="0.25">
      <c r="A236" s="52" t="s">
        <v>249</v>
      </c>
      <c r="B236" s="8">
        <v>2014</v>
      </c>
      <c r="C236" t="s">
        <v>75</v>
      </c>
      <c r="D236" t="s">
        <v>260</v>
      </c>
      <c r="E236" t="s">
        <v>8</v>
      </c>
      <c r="F236" s="57">
        <v>5468139</v>
      </c>
      <c r="G236" s="57">
        <f>SUM(F236)</f>
        <v>5468139</v>
      </c>
      <c r="H236" s="8">
        <f>COUNTIF(C235:C257, "*Branch &amp; Associates, Inc.*")</f>
        <v>1</v>
      </c>
      <c r="M236" s="66">
        <f>G236/F258</f>
        <v>7.7917433151737181E-3</v>
      </c>
    </row>
    <row r="237" spans="1:13" hidden="1" outlineLevel="1" x14ac:dyDescent="0.25">
      <c r="A237" s="52" t="s">
        <v>249</v>
      </c>
      <c r="B237" s="8">
        <v>2011</v>
      </c>
      <c r="C237" t="s">
        <v>49</v>
      </c>
      <c r="D237" t="s">
        <v>262</v>
      </c>
      <c r="E237" t="s">
        <v>33</v>
      </c>
      <c r="F237" s="57">
        <v>12684274</v>
      </c>
      <c r="G237" s="57">
        <f>SUM(F237)</f>
        <v>12684274</v>
      </c>
      <c r="H237" s="8">
        <f>COUNTIF(C235:C257, "*Donley's LLC.*")</f>
        <v>1</v>
      </c>
      <c r="M237" s="66">
        <f>G237/F258</f>
        <v>1.8074267524532898E-2</v>
      </c>
    </row>
    <row r="238" spans="1:13" hidden="1" outlineLevel="1" x14ac:dyDescent="0.25">
      <c r="A238" s="52" t="s">
        <v>249</v>
      </c>
      <c r="B238" s="8">
        <v>2010</v>
      </c>
      <c r="C238" t="s">
        <v>146</v>
      </c>
      <c r="D238" t="s">
        <v>254</v>
      </c>
      <c r="E238" t="s">
        <v>8</v>
      </c>
      <c r="F238" s="57">
        <v>97010971</v>
      </c>
      <c r="M238" s="66"/>
    </row>
    <row r="239" spans="1:13" hidden="1" outlineLevel="1" x14ac:dyDescent="0.25">
      <c r="A239" s="52" t="s">
        <v>249</v>
      </c>
      <c r="B239" s="8">
        <v>2013</v>
      </c>
      <c r="C239" t="s">
        <v>146</v>
      </c>
      <c r="D239" t="s">
        <v>256</v>
      </c>
      <c r="E239" t="s">
        <v>8</v>
      </c>
      <c r="F239" s="57">
        <v>29852815</v>
      </c>
      <c r="G239" s="57">
        <f>SUM(F238:F239)</f>
        <v>126863786</v>
      </c>
      <c r="H239" s="8">
        <f>COUNTIF(C235:C257, "*Gilbane Building Company*")</f>
        <v>2</v>
      </c>
      <c r="M239" s="66">
        <f>G239/F258</f>
        <v>0.18077266442991466</v>
      </c>
    </row>
    <row r="240" spans="1:13" hidden="1" outlineLevel="1" x14ac:dyDescent="0.25">
      <c r="A240" s="52" t="s">
        <v>249</v>
      </c>
      <c r="B240" s="8">
        <v>2009</v>
      </c>
      <c r="C240" t="s">
        <v>229</v>
      </c>
      <c r="D240" t="s">
        <v>253</v>
      </c>
      <c r="E240" t="s">
        <v>8</v>
      </c>
      <c r="F240" s="57">
        <v>15808053</v>
      </c>
      <c r="M240" s="66"/>
    </row>
    <row r="241" spans="1:13" hidden="1" outlineLevel="1" x14ac:dyDescent="0.25">
      <c r="A241" s="52" t="s">
        <v>249</v>
      </c>
      <c r="B241" s="8">
        <v>2012</v>
      </c>
      <c r="C241" t="s">
        <v>229</v>
      </c>
      <c r="D241" t="s">
        <v>255</v>
      </c>
      <c r="E241" t="s">
        <v>8</v>
      </c>
      <c r="F241" s="57">
        <v>29794180</v>
      </c>
    </row>
    <row r="242" spans="1:13" hidden="1" outlineLevel="1" x14ac:dyDescent="0.25">
      <c r="A242" s="52" t="s">
        <v>249</v>
      </c>
      <c r="B242" s="8">
        <v>2020</v>
      </c>
      <c r="C242" t="s">
        <v>229</v>
      </c>
      <c r="D242" t="s">
        <v>418</v>
      </c>
      <c r="E242" t="s">
        <v>8</v>
      </c>
      <c r="F242" s="57">
        <v>94248688</v>
      </c>
      <c r="G242" s="57">
        <f>SUM(F240:F242)</f>
        <v>139850921</v>
      </c>
      <c r="H242" s="8">
        <f>COUNTIF(C235:C257, "*Hourigan Construction*")</f>
        <v>3</v>
      </c>
      <c r="M242" s="66">
        <f>G242/F258</f>
        <v>0.19927848923054767</v>
      </c>
    </row>
    <row r="243" spans="1:13" hidden="1" outlineLevel="1" x14ac:dyDescent="0.25">
      <c r="A243" s="52" t="s">
        <v>249</v>
      </c>
      <c r="B243" s="8">
        <v>2009</v>
      </c>
      <c r="C243" t="s">
        <v>58</v>
      </c>
      <c r="D243" t="s">
        <v>251</v>
      </c>
      <c r="E243" t="s">
        <v>8</v>
      </c>
      <c r="F243" s="57">
        <v>39486474</v>
      </c>
      <c r="M243" s="66"/>
    </row>
    <row r="244" spans="1:13" hidden="1" outlineLevel="1" x14ac:dyDescent="0.25">
      <c r="A244" s="53" t="s">
        <v>249</v>
      </c>
      <c r="B244" s="39">
        <v>2009</v>
      </c>
      <c r="C244" s="19" t="s">
        <v>58</v>
      </c>
      <c r="D244" s="19" t="s">
        <v>252</v>
      </c>
      <c r="E244" s="19" t="s">
        <v>8</v>
      </c>
      <c r="F244" s="59">
        <v>14193696</v>
      </c>
      <c r="G244" s="53"/>
      <c r="M244" s="66"/>
    </row>
    <row r="245" spans="1:13" hidden="1" outlineLevel="1" x14ac:dyDescent="0.25">
      <c r="A245" s="87" t="s">
        <v>249</v>
      </c>
      <c r="B245" s="106">
        <v>2017</v>
      </c>
      <c r="C245" s="21" t="s">
        <v>58</v>
      </c>
      <c r="D245" s="21" t="s">
        <v>268</v>
      </c>
      <c r="E245" s="21" t="s">
        <v>8</v>
      </c>
      <c r="F245" s="56">
        <v>61500000</v>
      </c>
    </row>
    <row r="246" spans="1:13" hidden="1" outlineLevel="1" x14ac:dyDescent="0.25">
      <c r="A246" s="87" t="s">
        <v>249</v>
      </c>
      <c r="B246" s="106">
        <v>2017</v>
      </c>
      <c r="C246" s="21" t="s">
        <v>58</v>
      </c>
      <c r="D246" s="21" t="s">
        <v>416</v>
      </c>
      <c r="E246" s="21" t="s">
        <v>8</v>
      </c>
      <c r="F246" s="56">
        <v>5340786</v>
      </c>
      <c r="G246" s="59">
        <f>SUM(F243:F246)</f>
        <v>120520956</v>
      </c>
      <c r="H246" s="8">
        <f>COUNTIF(C235:C257, "*Kjellstrom &amp; Lee, Inc.*")</f>
        <v>4</v>
      </c>
      <c r="M246" s="66">
        <f>G246/F258</f>
        <v>0.17173454318760839</v>
      </c>
    </row>
    <row r="247" spans="1:13" hidden="1" outlineLevel="1" x14ac:dyDescent="0.25">
      <c r="A247" s="53" t="s">
        <v>249</v>
      </c>
      <c r="B247" s="39">
        <v>2013</v>
      </c>
      <c r="C247" s="19" t="s">
        <v>69</v>
      </c>
      <c r="D247" s="19" t="s">
        <v>263</v>
      </c>
      <c r="E247" s="19" t="s">
        <v>33</v>
      </c>
      <c r="F247" s="59">
        <v>23546845</v>
      </c>
      <c r="G247" s="59">
        <f>SUM(F247)</f>
        <v>23546845</v>
      </c>
      <c r="H247" s="8">
        <f>COUNTIF(C235:C257, "*S.B. Ballard Construction Company*")</f>
        <v>1</v>
      </c>
      <c r="M247" s="66">
        <f>G247/F258</f>
        <v>3.3552726461814827E-2</v>
      </c>
    </row>
    <row r="248" spans="1:13" hidden="1" outlineLevel="1" x14ac:dyDescent="0.25">
      <c r="A248" s="53" t="s">
        <v>249</v>
      </c>
      <c r="B248" s="39">
        <v>2009</v>
      </c>
      <c r="C248" s="19" t="s">
        <v>52</v>
      </c>
      <c r="D248" s="19" t="s">
        <v>250</v>
      </c>
      <c r="E248" s="19" t="s">
        <v>8</v>
      </c>
      <c r="F248" s="59">
        <v>62700392</v>
      </c>
      <c r="G248" s="53"/>
      <c r="M248" s="66"/>
    </row>
    <row r="249" spans="1:13" hidden="1" outlineLevel="1" x14ac:dyDescent="0.25">
      <c r="A249" s="53" t="s">
        <v>249</v>
      </c>
      <c r="B249" s="39">
        <v>2013</v>
      </c>
      <c r="C249" s="19" t="s">
        <v>52</v>
      </c>
      <c r="D249" s="19" t="s">
        <v>257</v>
      </c>
      <c r="E249" s="19" t="s">
        <v>8</v>
      </c>
      <c r="F249" s="59">
        <v>7962123</v>
      </c>
      <c r="G249" s="59">
        <f>SUM(F248:F249)</f>
        <v>70662515</v>
      </c>
      <c r="H249" s="8">
        <f>COUNTIF(C235:C257, "*Skanska USA Building*")</f>
        <v>2</v>
      </c>
      <c r="M249" s="66">
        <f>G249/F258</f>
        <v>0.10068949945943448</v>
      </c>
    </row>
    <row r="250" spans="1:13" hidden="1" outlineLevel="1" x14ac:dyDescent="0.25">
      <c r="A250" s="53" t="s">
        <v>249</v>
      </c>
      <c r="B250" s="39">
        <v>2016</v>
      </c>
      <c r="C250" s="19" t="s">
        <v>266</v>
      </c>
      <c r="D250" s="19" t="s">
        <v>265</v>
      </c>
      <c r="E250" s="19" t="s">
        <v>19</v>
      </c>
      <c r="F250" s="59">
        <v>13840000</v>
      </c>
    </row>
    <row r="251" spans="1:13" hidden="1" outlineLevel="1" x14ac:dyDescent="0.25">
      <c r="A251" s="53" t="s">
        <v>249</v>
      </c>
      <c r="B251" s="39">
        <v>2019</v>
      </c>
      <c r="C251" s="19" t="s">
        <v>266</v>
      </c>
      <c r="D251" s="19" t="s">
        <v>417</v>
      </c>
      <c r="E251" s="19" t="s">
        <v>19</v>
      </c>
      <c r="F251" s="59">
        <v>5699751</v>
      </c>
      <c r="G251" s="59">
        <f>SUM(F250:F251)</f>
        <v>19539751</v>
      </c>
      <c r="H251" s="8">
        <f>COUNTIF(C235:C257, "*SRC, Inc.*")</f>
        <v>2</v>
      </c>
      <c r="M251" s="66">
        <f>G251/F258</f>
        <v>2.7842877482523572E-2</v>
      </c>
    </row>
    <row r="252" spans="1:13" hidden="1" outlineLevel="1" x14ac:dyDescent="0.25">
      <c r="A252" s="53" t="s">
        <v>249</v>
      </c>
      <c r="B252" s="39">
        <v>2019</v>
      </c>
      <c r="C252" s="19" t="s">
        <v>420</v>
      </c>
      <c r="D252" s="19" t="s">
        <v>421</v>
      </c>
      <c r="E252" s="19" t="s">
        <v>19</v>
      </c>
      <c r="F252" s="59">
        <v>5550474</v>
      </c>
      <c r="G252" s="59">
        <f>SUM(F252)</f>
        <v>5550474</v>
      </c>
      <c r="H252" s="8">
        <f>COUNTIF(C235:C257, "*Warwick Mechanical*")</f>
        <v>1</v>
      </c>
      <c r="M252" s="66">
        <f>G252/F258</f>
        <v>7.9090653484751444E-3</v>
      </c>
    </row>
    <row r="253" spans="1:13" hidden="1" outlineLevel="1" x14ac:dyDescent="0.25">
      <c r="A253" s="53" t="s">
        <v>249</v>
      </c>
      <c r="B253" s="39">
        <v>2014</v>
      </c>
      <c r="C253" s="19" t="s">
        <v>9</v>
      </c>
      <c r="D253" s="19" t="s">
        <v>258</v>
      </c>
      <c r="E253" s="19" t="s">
        <v>8</v>
      </c>
      <c r="F253" s="59">
        <v>37092578</v>
      </c>
      <c r="G253" s="53"/>
      <c r="M253" s="66"/>
    </row>
    <row r="254" spans="1:13" hidden="1" outlineLevel="1" x14ac:dyDescent="0.25">
      <c r="A254" s="53" t="s">
        <v>249</v>
      </c>
      <c r="B254" s="39">
        <v>2013</v>
      </c>
      <c r="C254" s="19" t="s">
        <v>9</v>
      </c>
      <c r="D254" s="19" t="s">
        <v>261</v>
      </c>
      <c r="E254" s="19" t="s">
        <v>33</v>
      </c>
      <c r="F254" s="59">
        <v>33247088</v>
      </c>
      <c r="G254" s="59">
        <f>SUM(F253:F254)</f>
        <v>70339666</v>
      </c>
      <c r="H254" s="8">
        <f>COUNTIF(C235:C257, "*W.M. Jordan Company, Inc.*")</f>
        <v>2</v>
      </c>
      <c r="M254" s="66">
        <f>G254/F258</f>
        <v>0.10022946058010816</v>
      </c>
    </row>
    <row r="255" spans="1:13" hidden="1" outlineLevel="1" x14ac:dyDescent="0.25">
      <c r="A255" s="53" t="s">
        <v>249</v>
      </c>
      <c r="B255" s="39">
        <v>2011</v>
      </c>
      <c r="C255" s="19" t="s">
        <v>11</v>
      </c>
      <c r="D255" s="19" t="s">
        <v>264</v>
      </c>
      <c r="E255" s="19" t="s">
        <v>33</v>
      </c>
      <c r="F255" s="59">
        <v>33205861</v>
      </c>
      <c r="G255" s="53"/>
      <c r="M255" s="66"/>
    </row>
    <row r="256" spans="1:13" hidden="1" outlineLevel="1" x14ac:dyDescent="0.25">
      <c r="A256" s="87" t="s">
        <v>249</v>
      </c>
      <c r="B256" s="106">
        <v>2015</v>
      </c>
      <c r="C256" s="21" t="s">
        <v>11</v>
      </c>
      <c r="D256" s="21" t="s">
        <v>267</v>
      </c>
      <c r="E256" s="21" t="s">
        <v>8</v>
      </c>
      <c r="F256" s="56">
        <v>61494549</v>
      </c>
      <c r="G256" s="59">
        <f>SUM(F255:F256)</f>
        <v>94700410</v>
      </c>
      <c r="H256" s="8">
        <f>COUNTIF(C235:C257, "*Whiting-Turner Contracting Co*")</f>
        <v>2</v>
      </c>
      <c r="M256" s="66">
        <f>G256/F258</f>
        <v>0.13494194031309562</v>
      </c>
    </row>
    <row r="257" spans="1:13" hidden="1" outlineLevel="1" x14ac:dyDescent="0.25">
      <c r="A257" s="87"/>
      <c r="B257" s="106"/>
      <c r="C257" s="21"/>
      <c r="D257" s="21"/>
      <c r="E257" s="21"/>
      <c r="F257" s="56"/>
      <c r="G257" s="59"/>
      <c r="M257" s="66"/>
    </row>
    <row r="258" spans="1:13" s="8" customFormat="1" collapsed="1" x14ac:dyDescent="0.25">
      <c r="A258" s="88" t="s">
        <v>339</v>
      </c>
      <c r="B258" s="40"/>
      <c r="C258" s="40"/>
      <c r="D258" s="40"/>
      <c r="E258" s="40"/>
      <c r="F258" s="58">
        <f>SUM(F235:F257)</f>
        <v>701786337</v>
      </c>
      <c r="G258" s="58">
        <f>SUM(G235:G257)</f>
        <v>701786337</v>
      </c>
      <c r="H258" s="40">
        <f>SUM(H235:H257)</f>
        <v>22</v>
      </c>
      <c r="I258" s="40">
        <f>COUNTIF(E235:E257, "*Competitive Bid*")</f>
        <v>3</v>
      </c>
      <c r="J258" s="40">
        <f>H258-I258</f>
        <v>19</v>
      </c>
      <c r="K258" s="67">
        <f>J258/H258</f>
        <v>0.86363636363636365</v>
      </c>
      <c r="L258" s="67">
        <f>(F250+F251+F252)/F258</f>
        <v>3.5751942830998716E-2</v>
      </c>
      <c r="M258" s="67">
        <f>SUM(M235:M257)</f>
        <v>1</v>
      </c>
    </row>
    <row r="259" spans="1:13" hidden="1" outlineLevel="1" x14ac:dyDescent="0.25">
      <c r="A259" s="52" t="s">
        <v>269</v>
      </c>
      <c r="B259" s="8">
        <v>2009</v>
      </c>
      <c r="C259" t="s">
        <v>75</v>
      </c>
      <c r="D259" t="s">
        <v>270</v>
      </c>
      <c r="E259" t="s">
        <v>8</v>
      </c>
      <c r="F259" s="57">
        <v>11216304</v>
      </c>
      <c r="M259" s="66"/>
    </row>
    <row r="260" spans="1:13" hidden="1" outlineLevel="1" x14ac:dyDescent="0.25">
      <c r="A260" s="52" t="s">
        <v>269</v>
      </c>
      <c r="B260" s="8">
        <v>2009</v>
      </c>
      <c r="C260" t="s">
        <v>75</v>
      </c>
      <c r="D260" t="s">
        <v>271</v>
      </c>
      <c r="E260" t="s">
        <v>8</v>
      </c>
      <c r="F260" s="57">
        <v>13853380</v>
      </c>
      <c r="G260" s="57"/>
      <c r="M260" s="66"/>
    </row>
    <row r="261" spans="1:13" hidden="1" outlineLevel="1" x14ac:dyDescent="0.25">
      <c r="A261" s="52" t="s">
        <v>269</v>
      </c>
      <c r="B261" s="8">
        <v>2014</v>
      </c>
      <c r="C261" t="s">
        <v>75</v>
      </c>
      <c r="D261" t="s">
        <v>273</v>
      </c>
      <c r="E261" t="s">
        <v>8</v>
      </c>
      <c r="F261" s="57">
        <v>28876276</v>
      </c>
      <c r="M261" s="66"/>
    </row>
    <row r="262" spans="1:13" hidden="1" outlineLevel="1" x14ac:dyDescent="0.25">
      <c r="A262" s="90" t="s">
        <v>269</v>
      </c>
      <c r="B262" s="185">
        <v>2015</v>
      </c>
      <c r="C262" s="48" t="s">
        <v>75</v>
      </c>
      <c r="D262" s="48" t="s">
        <v>275</v>
      </c>
      <c r="E262" s="48" t="s">
        <v>8</v>
      </c>
      <c r="F262" s="62">
        <v>33201000</v>
      </c>
      <c r="G262" s="57">
        <f>SUM(F259:F262)</f>
        <v>87146960</v>
      </c>
      <c r="H262" s="8">
        <f>COUNTIF(C259:C265, "*Branch &amp; Associates, Inc.*")</f>
        <v>4</v>
      </c>
      <c r="M262" s="66">
        <f>G262/F268</f>
        <v>0.3340647568653603</v>
      </c>
    </row>
    <row r="263" spans="1:13" hidden="1" outlineLevel="1" x14ac:dyDescent="0.25">
      <c r="A263" s="90" t="s">
        <v>269</v>
      </c>
      <c r="B263" s="185">
        <v>2015</v>
      </c>
      <c r="C263" s="48" t="s">
        <v>9</v>
      </c>
      <c r="D263" s="48" t="s">
        <v>274</v>
      </c>
      <c r="E263" s="48" t="s">
        <v>8</v>
      </c>
      <c r="F263" s="62">
        <v>19521343</v>
      </c>
      <c r="G263" s="57">
        <f>SUM(F263)</f>
        <v>19521343</v>
      </c>
      <c r="H263" s="8">
        <f>COUNTIF(C259:C265, "*W.M. Jordan Company, Inc.*")</f>
        <v>1</v>
      </c>
      <c r="M263" s="66">
        <f>G263/F268</f>
        <v>7.4832130724701171E-2</v>
      </c>
    </row>
    <row r="264" spans="1:13" hidden="1" outlineLevel="1" x14ac:dyDescent="0.25">
      <c r="A264" s="90" t="s">
        <v>269</v>
      </c>
      <c r="B264" s="185">
        <v>2012</v>
      </c>
      <c r="C264" s="48" t="s">
        <v>11</v>
      </c>
      <c r="D264" s="48" t="s">
        <v>272</v>
      </c>
      <c r="E264" s="48" t="s">
        <v>8</v>
      </c>
      <c r="F264" s="62">
        <v>66737161</v>
      </c>
      <c r="M264" s="66"/>
    </row>
    <row r="265" spans="1:13" hidden="1" outlineLevel="1" x14ac:dyDescent="0.25">
      <c r="A265" s="144" t="s">
        <v>269</v>
      </c>
      <c r="B265" s="138">
        <v>2017</v>
      </c>
      <c r="C265" s="145" t="s">
        <v>11</v>
      </c>
      <c r="D265" s="145" t="s">
        <v>276</v>
      </c>
      <c r="E265" s="145" t="s">
        <v>8</v>
      </c>
      <c r="F265" s="139">
        <v>43275000</v>
      </c>
    </row>
    <row r="266" spans="1:13" hidden="1" outlineLevel="1" x14ac:dyDescent="0.25">
      <c r="A266" s="144" t="s">
        <v>269</v>
      </c>
      <c r="B266" s="138">
        <v>2018</v>
      </c>
      <c r="C266" s="145" t="s">
        <v>11</v>
      </c>
      <c r="D266" s="145" t="s">
        <v>363</v>
      </c>
      <c r="E266" s="145" t="s">
        <v>8</v>
      </c>
      <c r="F266" s="139">
        <v>44188000</v>
      </c>
      <c r="G266" s="60">
        <f>SUM(F264:F266)</f>
        <v>154200161</v>
      </c>
      <c r="H266" s="8">
        <f>COUNTIF(C259:C266, "*Whiting-Turner Contracting Co*")</f>
        <v>3</v>
      </c>
      <c r="M266" s="66">
        <f>G266/F268</f>
        <v>0.59110311240993851</v>
      </c>
    </row>
    <row r="267" spans="1:13" hidden="1" outlineLevel="1" x14ac:dyDescent="0.25">
      <c r="A267" s="91"/>
      <c r="B267" s="186"/>
      <c r="C267" s="49"/>
      <c r="D267" s="49"/>
      <c r="E267" s="49"/>
      <c r="F267" s="63"/>
      <c r="G267" s="57"/>
      <c r="M267" s="66"/>
    </row>
    <row r="268" spans="1:13" s="8" customFormat="1" collapsed="1" x14ac:dyDescent="0.25">
      <c r="A268" s="88" t="s">
        <v>340</v>
      </c>
      <c r="B268" s="40"/>
      <c r="C268" s="40"/>
      <c r="D268" s="40"/>
      <c r="E268" s="40"/>
      <c r="F268" s="58">
        <f>SUM(F259:F267)</f>
        <v>260868464</v>
      </c>
      <c r="G268" s="58">
        <f>SUM(G259:G267)</f>
        <v>260868464</v>
      </c>
      <c r="H268" s="40">
        <f>SUM(H259:H267)</f>
        <v>8</v>
      </c>
      <c r="I268" s="40">
        <f>COUNTIF(E259:E267, "*Competitive Bid*")</f>
        <v>0</v>
      </c>
      <c r="J268" s="40">
        <f>H268-I268</f>
        <v>8</v>
      </c>
      <c r="K268" s="67">
        <f>J268/H268</f>
        <v>1</v>
      </c>
      <c r="L268" s="67">
        <f>(0)/F268</f>
        <v>0</v>
      </c>
      <c r="M268" s="67">
        <f>SUM(M259:M267)</f>
        <v>1</v>
      </c>
    </row>
    <row r="269" spans="1:13" hidden="1" outlineLevel="1" x14ac:dyDescent="0.25">
      <c r="A269" s="52" t="s">
        <v>277</v>
      </c>
      <c r="B269" s="8">
        <v>2014</v>
      </c>
      <c r="C269" t="s">
        <v>143</v>
      </c>
      <c r="D269" t="s">
        <v>289</v>
      </c>
      <c r="E269" t="s">
        <v>8</v>
      </c>
      <c r="F269" s="57">
        <v>22078719</v>
      </c>
      <c r="G269" s="57">
        <f>SUM(F269)</f>
        <v>22078719</v>
      </c>
      <c r="H269" s="8">
        <f>COUNTIF(C269:C292, "*Barton Malow Company*")</f>
        <v>1</v>
      </c>
      <c r="M269" s="66">
        <f>G269/F293</f>
        <v>3.3681512576334054E-2</v>
      </c>
    </row>
    <row r="270" spans="1:13" hidden="1" outlineLevel="1" x14ac:dyDescent="0.25">
      <c r="A270" s="52" t="s">
        <v>277</v>
      </c>
      <c r="B270" s="8">
        <v>2008</v>
      </c>
      <c r="C270" t="s">
        <v>49</v>
      </c>
      <c r="D270" t="s">
        <v>278</v>
      </c>
      <c r="E270" t="s">
        <v>8</v>
      </c>
      <c r="F270" s="57">
        <v>8625147</v>
      </c>
      <c r="G270" s="57">
        <f>SUM(F270)</f>
        <v>8625147</v>
      </c>
      <c r="H270" s="8">
        <f>COUNTIF(C269:C292, "*Donley's LLC.*")</f>
        <v>1</v>
      </c>
      <c r="M270" s="66">
        <f>G270/F293</f>
        <v>1.3157828457041819E-2</v>
      </c>
    </row>
    <row r="271" spans="1:13" hidden="1" outlineLevel="1" x14ac:dyDescent="0.25">
      <c r="A271" s="53" t="s">
        <v>277</v>
      </c>
      <c r="B271" s="39">
        <v>2013</v>
      </c>
      <c r="C271" s="19" t="s">
        <v>146</v>
      </c>
      <c r="D271" s="19" t="s">
        <v>288</v>
      </c>
      <c r="E271" s="19" t="s">
        <v>8</v>
      </c>
      <c r="F271" s="59">
        <v>5260000</v>
      </c>
      <c r="G271" s="57">
        <f>SUM(F271)</f>
        <v>5260000</v>
      </c>
      <c r="H271" s="8">
        <f>COUNTIF(C269:C292, "*Gilbane Building Company*")</f>
        <v>1</v>
      </c>
      <c r="M271" s="66">
        <f>G271/F293</f>
        <v>8.0242316663171036E-3</v>
      </c>
    </row>
    <row r="272" spans="1:13" hidden="1" outlineLevel="1" x14ac:dyDescent="0.25">
      <c r="A272" s="53" t="s">
        <v>277</v>
      </c>
      <c r="B272" s="39">
        <v>2017</v>
      </c>
      <c r="C272" s="19" t="s">
        <v>178</v>
      </c>
      <c r="D272" s="19" t="s">
        <v>292</v>
      </c>
      <c r="E272" s="19" t="s">
        <v>8</v>
      </c>
      <c r="F272" s="59">
        <v>118503000</v>
      </c>
      <c r="M272" s="66">
        <f>G273/F293</f>
        <v>0.18965943382052614</v>
      </c>
    </row>
    <row r="273" spans="1:13" hidden="1" outlineLevel="1" x14ac:dyDescent="0.25">
      <c r="A273" s="53" t="s">
        <v>277</v>
      </c>
      <c r="B273" s="39">
        <v>2018</v>
      </c>
      <c r="C273" s="21" t="s">
        <v>178</v>
      </c>
      <c r="D273" s="21" t="s">
        <v>403</v>
      </c>
      <c r="E273" s="21" t="s">
        <v>8</v>
      </c>
      <c r="F273" s="59">
        <v>5821504</v>
      </c>
      <c r="G273" s="57">
        <f>SUM(F272:F273)</f>
        <v>124324504</v>
      </c>
      <c r="H273" s="8">
        <f>COUNTIF(C269:C292, "*Holder Construction Group, LLC.*")</f>
        <v>2</v>
      </c>
      <c r="M273" s="66"/>
    </row>
    <row r="274" spans="1:13" hidden="1" outlineLevel="1" x14ac:dyDescent="0.25">
      <c r="A274" s="53" t="s">
        <v>277</v>
      </c>
      <c r="B274" s="39">
        <v>2014</v>
      </c>
      <c r="C274" s="19" t="s">
        <v>58</v>
      </c>
      <c r="D274" s="19" t="s">
        <v>290</v>
      </c>
      <c r="E274" s="19" t="s">
        <v>8</v>
      </c>
      <c r="F274" s="59">
        <v>5600000</v>
      </c>
      <c r="M274" s="66"/>
    </row>
    <row r="275" spans="1:13" hidden="1" outlineLevel="1" x14ac:dyDescent="0.25">
      <c r="A275" s="87" t="s">
        <v>277</v>
      </c>
      <c r="B275" s="106">
        <v>2017</v>
      </c>
      <c r="C275" s="21" t="s">
        <v>58</v>
      </c>
      <c r="D275" s="21" t="s">
        <v>293</v>
      </c>
      <c r="E275" s="21" t="s">
        <v>8</v>
      </c>
      <c r="F275" s="56">
        <v>22613000</v>
      </c>
      <c r="M275" s="66">
        <f>G278/F293</f>
        <v>0.17120399998978511</v>
      </c>
    </row>
    <row r="276" spans="1:13" hidden="1" outlineLevel="1" x14ac:dyDescent="0.25">
      <c r="A276" s="87" t="s">
        <v>277</v>
      </c>
      <c r="B276" s="106">
        <v>2020</v>
      </c>
      <c r="C276" s="21" t="s">
        <v>58</v>
      </c>
      <c r="D276" s="21" t="s">
        <v>404</v>
      </c>
      <c r="E276" s="21" t="s">
        <v>8</v>
      </c>
      <c r="F276" s="56">
        <v>33738315</v>
      </c>
      <c r="M276" s="66"/>
    </row>
    <row r="277" spans="1:13" hidden="1" outlineLevel="1" x14ac:dyDescent="0.25">
      <c r="A277" s="87" t="s">
        <v>277</v>
      </c>
      <c r="B277" s="106">
        <v>2019</v>
      </c>
      <c r="C277" s="21" t="s">
        <v>58</v>
      </c>
      <c r="D277" s="21" t="s">
        <v>408</v>
      </c>
      <c r="E277" s="21" t="s">
        <v>8</v>
      </c>
      <c r="F277" s="56">
        <v>15775385</v>
      </c>
      <c r="M277" s="66"/>
    </row>
    <row r="278" spans="1:13" hidden="1" outlineLevel="1" x14ac:dyDescent="0.25">
      <c r="A278" s="87" t="s">
        <v>277</v>
      </c>
      <c r="B278" s="106">
        <v>2021</v>
      </c>
      <c r="C278" s="21" t="s">
        <v>58</v>
      </c>
      <c r="D278" s="21" t="s">
        <v>410</v>
      </c>
      <c r="E278" s="21" t="s">
        <v>8</v>
      </c>
      <c r="F278" s="56">
        <v>34500000</v>
      </c>
      <c r="G278" s="57">
        <f>SUM(F274:F278)</f>
        <v>112226700</v>
      </c>
      <c r="H278" s="8">
        <f>COUNTIF(C269:C292, "*Kjellstrom &amp; Lee, Inc.*")</f>
        <v>5</v>
      </c>
      <c r="M278" s="66"/>
    </row>
    <row r="279" spans="1:13" hidden="1" outlineLevel="1" x14ac:dyDescent="0.25">
      <c r="A279" s="53" t="s">
        <v>277</v>
      </c>
      <c r="B279" s="39">
        <v>2011</v>
      </c>
      <c r="C279" s="19" t="s">
        <v>282</v>
      </c>
      <c r="D279" s="19" t="s">
        <v>281</v>
      </c>
      <c r="E279" s="19" t="s">
        <v>8</v>
      </c>
      <c r="F279" s="59">
        <v>11469095</v>
      </c>
      <c r="M279" s="66"/>
    </row>
    <row r="280" spans="1:13" hidden="1" outlineLevel="1" x14ac:dyDescent="0.25">
      <c r="A280" s="53" t="s">
        <v>277</v>
      </c>
      <c r="B280" s="39">
        <v>2011</v>
      </c>
      <c r="C280" s="19" t="s">
        <v>282</v>
      </c>
      <c r="D280" s="19" t="s">
        <v>283</v>
      </c>
      <c r="E280" s="19" t="s">
        <v>8</v>
      </c>
      <c r="F280" s="59">
        <v>7475220</v>
      </c>
      <c r="G280" s="57">
        <f>SUM(F279:F280)</f>
        <v>18944315</v>
      </c>
      <c r="H280" s="8">
        <f>COUNTIF(C269:C292, "*Mid-Atlantic Infrastructure*")</f>
        <v>2</v>
      </c>
      <c r="M280" s="66">
        <f>G280/F293</f>
        <v>2.8899918691955535E-2</v>
      </c>
    </row>
    <row r="281" spans="1:13" hidden="1" outlineLevel="1" x14ac:dyDescent="0.25">
      <c r="A281" s="87" t="s">
        <v>277</v>
      </c>
      <c r="B281" s="106">
        <v>2016</v>
      </c>
      <c r="C281" s="21" t="s">
        <v>141</v>
      </c>
      <c r="D281" s="21" t="s">
        <v>406</v>
      </c>
      <c r="E281" s="21" t="s">
        <v>8</v>
      </c>
      <c r="F281" s="56">
        <v>30254000</v>
      </c>
      <c r="G281" s="57">
        <f>SUM(F281)</f>
        <v>30254000</v>
      </c>
      <c r="H281" s="8">
        <f>COUNTIF(C269:C292, "*DPR Construction, Inc.*")</f>
        <v>1</v>
      </c>
      <c r="M281" s="66">
        <f>G281/F293</f>
        <v>4.6153061755277121E-2</v>
      </c>
    </row>
    <row r="282" spans="1:13" hidden="1" outlineLevel="1" x14ac:dyDescent="0.25">
      <c r="A282" s="87" t="s">
        <v>277</v>
      </c>
      <c r="B282" s="106">
        <v>2021</v>
      </c>
      <c r="C282" s="21" t="s">
        <v>52</v>
      </c>
      <c r="D282" s="21" t="s">
        <v>409</v>
      </c>
      <c r="E282" s="21" t="s">
        <v>8</v>
      </c>
      <c r="F282" s="56">
        <v>69914000</v>
      </c>
      <c r="G282" s="57">
        <f>SUM(F282)</f>
        <v>69914000</v>
      </c>
      <c r="H282" s="8">
        <f>COUNTIF(C269:C292, "*Skanska USA Building*")</f>
        <v>1</v>
      </c>
      <c r="M282" s="66">
        <f>G282/F293</f>
        <v>0.10665515831157681</v>
      </c>
    </row>
    <row r="283" spans="1:13" hidden="1" outlineLevel="1" x14ac:dyDescent="0.25">
      <c r="A283" s="53" t="s">
        <v>277</v>
      </c>
      <c r="B283" s="39">
        <v>2012</v>
      </c>
      <c r="C283" s="19" t="s">
        <v>9</v>
      </c>
      <c r="D283" s="19" t="s">
        <v>284</v>
      </c>
      <c r="E283" s="19" t="s">
        <v>8</v>
      </c>
      <c r="F283" s="59">
        <v>20014505</v>
      </c>
      <c r="M283" s="66"/>
    </row>
    <row r="284" spans="1:13" hidden="1" outlineLevel="1" x14ac:dyDescent="0.25">
      <c r="A284" s="53" t="s">
        <v>277</v>
      </c>
      <c r="B284" s="39">
        <v>2012</v>
      </c>
      <c r="C284" s="19" t="s">
        <v>9</v>
      </c>
      <c r="D284" s="19" t="s">
        <v>286</v>
      </c>
      <c r="E284" s="19" t="s">
        <v>8</v>
      </c>
      <c r="F284" s="59">
        <v>11770972</v>
      </c>
      <c r="M284" s="66"/>
    </row>
    <row r="285" spans="1:13" hidden="1" outlineLevel="1" x14ac:dyDescent="0.25">
      <c r="A285" s="53" t="s">
        <v>277</v>
      </c>
      <c r="B285" s="39">
        <v>2012</v>
      </c>
      <c r="C285" s="19" t="s">
        <v>9</v>
      </c>
      <c r="D285" s="19" t="s">
        <v>287</v>
      </c>
      <c r="E285" s="19" t="s">
        <v>8</v>
      </c>
      <c r="F285" s="59">
        <v>7577000</v>
      </c>
      <c r="M285" s="66"/>
    </row>
    <row r="286" spans="1:13" hidden="1" outlineLevel="1" x14ac:dyDescent="0.25">
      <c r="A286" s="53" t="s">
        <v>277</v>
      </c>
      <c r="B286" s="39">
        <v>2016</v>
      </c>
      <c r="C286" s="19" t="s">
        <v>9</v>
      </c>
      <c r="D286" s="19" t="s">
        <v>291</v>
      </c>
      <c r="E286" s="19" t="s">
        <v>8</v>
      </c>
      <c r="F286" s="59">
        <v>19463177</v>
      </c>
      <c r="G286" s="57">
        <f>SUM(F283:F286)</f>
        <v>58825654</v>
      </c>
      <c r="H286" s="8">
        <f>COUNTIF(C269:C292, "*W.M. Jordan Company, Inc.*")</f>
        <v>4</v>
      </c>
      <c r="M286" s="66">
        <f>G286/F293</f>
        <v>8.9739672170839058E-2</v>
      </c>
    </row>
    <row r="287" spans="1:13" hidden="1" outlineLevel="1" x14ac:dyDescent="0.25">
      <c r="A287" s="53" t="s">
        <v>277</v>
      </c>
      <c r="B287" s="39">
        <v>2009</v>
      </c>
      <c r="C287" s="19" t="s">
        <v>11</v>
      </c>
      <c r="D287" s="19" t="s">
        <v>279</v>
      </c>
      <c r="E287" s="19" t="s">
        <v>8</v>
      </c>
      <c r="F287" s="59">
        <v>5881832</v>
      </c>
      <c r="M287" s="66"/>
    </row>
    <row r="288" spans="1:13" hidden="1" outlineLevel="1" x14ac:dyDescent="0.25">
      <c r="A288" s="53" t="s">
        <v>277</v>
      </c>
      <c r="B288" s="39">
        <v>2011</v>
      </c>
      <c r="C288" s="19" t="s">
        <v>11</v>
      </c>
      <c r="D288" s="19" t="s">
        <v>280</v>
      </c>
      <c r="E288" s="19" t="s">
        <v>8</v>
      </c>
      <c r="F288" s="59">
        <v>53526409</v>
      </c>
      <c r="M288" s="66"/>
    </row>
    <row r="289" spans="1:13" hidden="1" outlineLevel="1" x14ac:dyDescent="0.25">
      <c r="A289" s="53" t="s">
        <v>277</v>
      </c>
      <c r="B289" s="39">
        <v>2012</v>
      </c>
      <c r="C289" s="19" t="s">
        <v>11</v>
      </c>
      <c r="D289" s="19" t="s">
        <v>285</v>
      </c>
      <c r="E289" s="19" t="s">
        <v>8</v>
      </c>
      <c r="F289" s="59">
        <v>7334710</v>
      </c>
      <c r="M289" s="66"/>
    </row>
    <row r="290" spans="1:13" hidden="1" outlineLevel="1" x14ac:dyDescent="0.25">
      <c r="A290" s="87" t="s">
        <v>277</v>
      </c>
      <c r="B290" s="106">
        <v>2016</v>
      </c>
      <c r="C290" s="21" t="s">
        <v>11</v>
      </c>
      <c r="D290" s="21" t="s">
        <v>407</v>
      </c>
      <c r="E290" s="21" t="s">
        <v>8</v>
      </c>
      <c r="F290" s="56">
        <v>15600000</v>
      </c>
      <c r="M290" s="66">
        <f>G291/F293</f>
        <v>0.31282518256034725</v>
      </c>
    </row>
    <row r="291" spans="1:13" hidden="1" outlineLevel="1" x14ac:dyDescent="0.25">
      <c r="A291" s="87" t="s">
        <v>277</v>
      </c>
      <c r="B291" s="106">
        <v>2018</v>
      </c>
      <c r="C291" s="21" t="s">
        <v>11</v>
      </c>
      <c r="D291" s="21" t="s">
        <v>402</v>
      </c>
      <c r="E291" s="21" t="s">
        <v>8</v>
      </c>
      <c r="F291" s="56">
        <v>122718484</v>
      </c>
      <c r="G291" s="57">
        <f>SUM(F287:F291)</f>
        <v>205061435</v>
      </c>
      <c r="H291" s="8">
        <f>COUNTIF(C269:C292, "*Whiting-Turner Contracting Co*")</f>
        <v>5</v>
      </c>
      <c r="M291" s="66"/>
    </row>
    <row r="292" spans="1:13" hidden="1" outlineLevel="1" x14ac:dyDescent="0.25">
      <c r="A292" s="87"/>
      <c r="B292" s="106"/>
      <c r="C292" s="21"/>
      <c r="D292" s="21"/>
      <c r="E292" s="21"/>
      <c r="F292" s="56"/>
      <c r="G292" s="57"/>
      <c r="M292" s="66"/>
    </row>
    <row r="293" spans="1:13" s="8" customFormat="1" collapsed="1" x14ac:dyDescent="0.25">
      <c r="A293" s="88" t="s">
        <v>341</v>
      </c>
      <c r="B293" s="40"/>
      <c r="C293" s="40"/>
      <c r="D293" s="40"/>
      <c r="E293" s="40"/>
      <c r="F293" s="58">
        <f>SUM(F269:F292)</f>
        <v>655514474</v>
      </c>
      <c r="G293" s="58">
        <f>SUM(G269:G292)</f>
        <v>655514474</v>
      </c>
      <c r="H293" s="40">
        <f>SUM(H269:H292)</f>
        <v>23</v>
      </c>
      <c r="I293" s="40">
        <f>COUNTIF(E269:E292, "*Competitive Bid*")</f>
        <v>0</v>
      </c>
      <c r="J293" s="40">
        <f>H293-I293</f>
        <v>23</v>
      </c>
      <c r="K293" s="67">
        <f>J293/H293</f>
        <v>1</v>
      </c>
      <c r="L293" s="67">
        <f>(0)/F293</f>
        <v>0</v>
      </c>
      <c r="M293" s="67">
        <f>SUM(M269:M292)</f>
        <v>1</v>
      </c>
    </row>
    <row r="294" spans="1:13" x14ac:dyDescent="0.25">
      <c r="A294" s="53"/>
      <c r="B294" s="39"/>
      <c r="D294" s="19"/>
      <c r="E294" s="19"/>
      <c r="F294" s="53"/>
    </row>
    <row r="295" spans="1:13" ht="15.75" thickBot="1" x14ac:dyDescent="0.3">
      <c r="A295" s="53"/>
      <c r="B295" s="39"/>
      <c r="D295" s="19"/>
      <c r="E295" s="51" t="s">
        <v>342</v>
      </c>
      <c r="F295" s="69">
        <f>F14+F33+F59+F72+F79+F92+F107+F119+F173+F177+F208+F234+F258+F268+F293</f>
        <v>6321003753</v>
      </c>
      <c r="G295" s="70">
        <f>G14+G33+G59+G72+G79+G92+G107+G119+G173+G177+G208+G234+G258+G268+G293</f>
        <v>6321003753</v>
      </c>
      <c r="H295" s="51">
        <f>H14+H33+H59+H72+H79+H92+H107+H119+H173+H177+H208+H234+H258+H268+H293</f>
        <v>262</v>
      </c>
      <c r="I295" s="51">
        <f>I14+I33+I59+I72+I79+I92+I107+I119+I173+I177+I208+I234+I258+I268+I293</f>
        <v>42</v>
      </c>
      <c r="J295" s="51">
        <f>J14+J33+J59+J72+J79+J92+J107+J119+J173+J177+J208+J234+J258+J268+J293</f>
        <v>220</v>
      </c>
      <c r="K295" s="92"/>
      <c r="L295" s="92"/>
      <c r="M295" s="68"/>
    </row>
    <row r="296" spans="1:13" ht="15.75" thickTop="1" x14ac:dyDescent="0.25">
      <c r="A296" s="53"/>
      <c r="B296" s="39"/>
      <c r="D296" s="19"/>
      <c r="E296" s="19"/>
      <c r="F296" s="53"/>
    </row>
    <row r="311" spans="3:3" x14ac:dyDescent="0.25">
      <c r="C311" s="43"/>
    </row>
    <row r="312" spans="3:3" x14ac:dyDescent="0.25">
      <c r="C312" s="43"/>
    </row>
    <row r="313" spans="3:3" x14ac:dyDescent="0.25">
      <c r="C313" s="43"/>
    </row>
    <row r="314" spans="3:3" x14ac:dyDescent="0.25">
      <c r="C314" s="43"/>
    </row>
    <row r="315" spans="3:3" x14ac:dyDescent="0.25">
      <c r="C315" s="43"/>
    </row>
    <row r="316" spans="3:3" x14ac:dyDescent="0.25">
      <c r="C316" s="43"/>
    </row>
    <row r="317" spans="3:3" x14ac:dyDescent="0.25">
      <c r="C317" s="43"/>
    </row>
    <row r="318" spans="3:3" x14ac:dyDescent="0.25">
      <c r="C318" s="43"/>
    </row>
    <row r="319" spans="3:3" x14ac:dyDescent="0.25">
      <c r="C319" s="43"/>
    </row>
    <row r="320" spans="3:3" x14ac:dyDescent="0.25">
      <c r="C320" s="43"/>
    </row>
    <row r="321" spans="3:3" x14ac:dyDescent="0.25">
      <c r="C321" s="43"/>
    </row>
    <row r="322" spans="3:3" x14ac:dyDescent="0.25">
      <c r="C322" s="43"/>
    </row>
    <row r="323" spans="3:3" x14ac:dyDescent="0.25">
      <c r="C323" s="43"/>
    </row>
    <row r="324" spans="3:3" x14ac:dyDescent="0.25">
      <c r="C324" s="43"/>
    </row>
    <row r="325" spans="3:3" x14ac:dyDescent="0.25">
      <c r="C325" s="43"/>
    </row>
    <row r="326" spans="3:3" x14ac:dyDescent="0.25">
      <c r="C326" s="43"/>
    </row>
    <row r="327" spans="3:3" x14ac:dyDescent="0.25">
      <c r="C327" s="43"/>
    </row>
    <row r="328" spans="3:3" x14ac:dyDescent="0.25">
      <c r="C328" s="43"/>
    </row>
    <row r="329" spans="3:3" x14ac:dyDescent="0.25">
      <c r="C329" s="43"/>
    </row>
    <row r="330" spans="3:3" x14ac:dyDescent="0.25">
      <c r="C330" s="43"/>
    </row>
    <row r="331" spans="3:3" x14ac:dyDescent="0.25">
      <c r="C331" s="43"/>
    </row>
    <row r="332" spans="3:3" x14ac:dyDescent="0.25">
      <c r="C332" s="43"/>
    </row>
    <row r="333" spans="3:3" x14ac:dyDescent="0.25">
      <c r="C333" s="43"/>
    </row>
    <row r="334" spans="3:3" x14ac:dyDescent="0.25">
      <c r="C334" s="43"/>
    </row>
    <row r="335" spans="3:3" x14ac:dyDescent="0.25">
      <c r="C335" s="43"/>
    </row>
    <row r="336" spans="3:3" x14ac:dyDescent="0.25">
      <c r="C336" s="43"/>
    </row>
    <row r="337" spans="3:3" x14ac:dyDescent="0.25">
      <c r="C337" s="43"/>
    </row>
    <row r="338" spans="3:3" x14ac:dyDescent="0.25">
      <c r="C338" s="43"/>
    </row>
    <row r="339" spans="3:3" x14ac:dyDescent="0.25">
      <c r="C339" s="43"/>
    </row>
    <row r="340" spans="3:3" x14ac:dyDescent="0.25">
      <c r="C340" s="43"/>
    </row>
    <row r="341" spans="3:3" x14ac:dyDescent="0.25">
      <c r="C341" s="43"/>
    </row>
    <row r="342" spans="3:3" x14ac:dyDescent="0.25">
      <c r="C342" s="43"/>
    </row>
    <row r="343" spans="3:3" x14ac:dyDescent="0.25">
      <c r="C343" s="43"/>
    </row>
    <row r="344" spans="3:3" x14ac:dyDescent="0.25">
      <c r="C344" s="43"/>
    </row>
    <row r="345" spans="3:3" x14ac:dyDescent="0.25">
      <c r="C345" s="43"/>
    </row>
    <row r="346" spans="3:3" x14ac:dyDescent="0.25">
      <c r="C346" s="43"/>
    </row>
    <row r="347" spans="3:3" x14ac:dyDescent="0.25">
      <c r="C347" s="43"/>
    </row>
    <row r="348" spans="3:3" x14ac:dyDescent="0.25">
      <c r="C348" s="43"/>
    </row>
    <row r="349" spans="3:3" x14ac:dyDescent="0.25">
      <c r="C349" s="43"/>
    </row>
    <row r="350" spans="3:3" x14ac:dyDescent="0.25">
      <c r="C350" s="43"/>
    </row>
    <row r="351" spans="3:3" x14ac:dyDescent="0.25">
      <c r="C351" s="43"/>
    </row>
    <row r="352" spans="3:3" x14ac:dyDescent="0.25">
      <c r="C352" s="43"/>
    </row>
    <row r="353" spans="3:3" x14ac:dyDescent="0.25">
      <c r="C353" s="43"/>
    </row>
    <row r="354" spans="3:3" x14ac:dyDescent="0.25">
      <c r="C354" s="43"/>
    </row>
    <row r="355" spans="3:3" x14ac:dyDescent="0.25">
      <c r="C355" s="43"/>
    </row>
    <row r="356" spans="3:3" x14ac:dyDescent="0.25">
      <c r="C356" s="43"/>
    </row>
    <row r="357" spans="3:3" x14ac:dyDescent="0.25">
      <c r="C357" s="43"/>
    </row>
    <row r="358" spans="3:3" x14ac:dyDescent="0.25">
      <c r="C358" s="43"/>
    </row>
    <row r="359" spans="3:3" x14ac:dyDescent="0.25">
      <c r="C359" s="43"/>
    </row>
    <row r="360" spans="3:3" x14ac:dyDescent="0.25">
      <c r="C360" s="43"/>
    </row>
    <row r="361" spans="3:3" x14ac:dyDescent="0.25">
      <c r="C361" s="43"/>
    </row>
    <row r="362" spans="3:3" x14ac:dyDescent="0.25">
      <c r="C362" s="43"/>
    </row>
    <row r="363" spans="3:3" x14ac:dyDescent="0.25">
      <c r="C363" s="43"/>
    </row>
    <row r="364" spans="3:3" x14ac:dyDescent="0.25">
      <c r="C364" s="43"/>
    </row>
    <row r="365" spans="3:3" x14ac:dyDescent="0.25">
      <c r="C365" s="43"/>
    </row>
    <row r="366" spans="3:3" x14ac:dyDescent="0.25">
      <c r="C366" s="43"/>
    </row>
    <row r="367" spans="3:3" x14ac:dyDescent="0.25">
      <c r="C367" s="43"/>
    </row>
    <row r="368" spans="3:3" x14ac:dyDescent="0.25">
      <c r="C368" s="43"/>
    </row>
    <row r="369" spans="3:3" x14ac:dyDescent="0.25">
      <c r="C369" s="43"/>
    </row>
    <row r="370" spans="3:3" x14ac:dyDescent="0.25">
      <c r="C370" s="43"/>
    </row>
    <row r="371" spans="3:3" x14ac:dyDescent="0.25">
      <c r="C371" s="43"/>
    </row>
    <row r="372" spans="3:3" x14ac:dyDescent="0.25">
      <c r="C372" s="43"/>
    </row>
    <row r="373" spans="3:3" x14ac:dyDescent="0.25">
      <c r="C373" s="43"/>
    </row>
    <row r="374" spans="3:3" x14ac:dyDescent="0.25">
      <c r="C374" s="43"/>
    </row>
    <row r="375" spans="3:3" x14ac:dyDescent="0.25">
      <c r="C375" s="43"/>
    </row>
    <row r="376" spans="3:3" x14ac:dyDescent="0.25">
      <c r="C376" s="43"/>
    </row>
    <row r="377" spans="3:3" x14ac:dyDescent="0.25">
      <c r="C377" s="43"/>
    </row>
    <row r="378" spans="3:3" x14ac:dyDescent="0.25">
      <c r="C378" s="43"/>
    </row>
    <row r="379" spans="3:3" x14ac:dyDescent="0.25">
      <c r="C379" s="43"/>
    </row>
    <row r="380" spans="3:3" x14ac:dyDescent="0.25">
      <c r="C380" s="43"/>
    </row>
    <row r="381" spans="3:3" x14ac:dyDescent="0.25">
      <c r="C381" s="43"/>
    </row>
    <row r="382" spans="3:3" x14ac:dyDescent="0.25">
      <c r="C382" s="43"/>
    </row>
    <row r="383" spans="3:3" x14ac:dyDescent="0.25">
      <c r="C383" s="43"/>
    </row>
    <row r="384" spans="3:3" x14ac:dyDescent="0.25">
      <c r="C384" s="43"/>
    </row>
    <row r="385" spans="3:3" x14ac:dyDescent="0.25">
      <c r="C385" s="43"/>
    </row>
    <row r="386" spans="3:3" x14ac:dyDescent="0.25">
      <c r="C386" s="43"/>
    </row>
    <row r="387" spans="3:3" x14ac:dyDescent="0.25">
      <c r="C387" s="43"/>
    </row>
    <row r="388" spans="3:3" x14ac:dyDescent="0.25">
      <c r="C388" s="43"/>
    </row>
    <row r="389" spans="3:3" x14ac:dyDescent="0.25">
      <c r="C389" s="43"/>
    </row>
    <row r="390" spans="3:3" x14ac:dyDescent="0.25">
      <c r="C390" s="43"/>
    </row>
    <row r="391" spans="3:3" x14ac:dyDescent="0.25">
      <c r="C391" s="43"/>
    </row>
    <row r="392" spans="3:3" x14ac:dyDescent="0.25">
      <c r="C392" s="43"/>
    </row>
    <row r="393" spans="3:3" x14ac:dyDescent="0.25">
      <c r="C393" s="43"/>
    </row>
    <row r="394" spans="3:3" x14ac:dyDescent="0.25">
      <c r="C394" s="43"/>
    </row>
    <row r="395" spans="3:3" x14ac:dyDescent="0.25">
      <c r="C395" s="43"/>
    </row>
    <row r="396" spans="3:3" x14ac:dyDescent="0.25">
      <c r="C396" s="43"/>
    </row>
    <row r="397" spans="3:3" x14ac:dyDescent="0.25">
      <c r="C397" s="43"/>
    </row>
    <row r="398" spans="3:3" x14ac:dyDescent="0.25">
      <c r="C398" s="43"/>
    </row>
    <row r="399" spans="3:3" x14ac:dyDescent="0.25">
      <c r="C399" s="43"/>
    </row>
    <row r="400" spans="3:3" x14ac:dyDescent="0.25">
      <c r="C400" s="43"/>
    </row>
    <row r="401" spans="3:3" x14ac:dyDescent="0.25">
      <c r="C401" s="43"/>
    </row>
    <row r="402" spans="3:3" x14ac:dyDescent="0.25">
      <c r="C402" s="43"/>
    </row>
    <row r="403" spans="3:3" x14ac:dyDescent="0.25">
      <c r="C403" s="43"/>
    </row>
    <row r="404" spans="3:3" x14ac:dyDescent="0.25">
      <c r="C404" s="43"/>
    </row>
    <row r="405" spans="3:3" x14ac:dyDescent="0.25">
      <c r="C405" s="43"/>
    </row>
    <row r="406" spans="3:3" x14ac:dyDescent="0.25">
      <c r="C406" s="43"/>
    </row>
    <row r="407" spans="3:3" x14ac:dyDescent="0.25">
      <c r="C407" s="43"/>
    </row>
    <row r="408" spans="3:3" x14ac:dyDescent="0.25">
      <c r="C408" s="43"/>
    </row>
    <row r="409" spans="3:3" x14ac:dyDescent="0.25">
      <c r="C409" s="43"/>
    </row>
    <row r="410" spans="3:3" x14ac:dyDescent="0.25">
      <c r="C410" s="43"/>
    </row>
    <row r="411" spans="3:3" x14ac:dyDescent="0.25">
      <c r="C411" s="43"/>
    </row>
    <row r="412" spans="3:3" x14ac:dyDescent="0.25">
      <c r="C412" s="43"/>
    </row>
    <row r="413" spans="3:3" x14ac:dyDescent="0.25">
      <c r="C413" s="43"/>
    </row>
    <row r="414" spans="3:3" x14ac:dyDescent="0.25">
      <c r="C414" s="43"/>
    </row>
    <row r="415" spans="3:3" x14ac:dyDescent="0.25">
      <c r="C415" s="43"/>
    </row>
    <row r="416" spans="3:3" x14ac:dyDescent="0.25">
      <c r="C416" s="43"/>
    </row>
    <row r="417" spans="3:3" x14ac:dyDescent="0.25">
      <c r="C417" s="43"/>
    </row>
    <row r="418" spans="3:3" x14ac:dyDescent="0.25">
      <c r="C418" s="43"/>
    </row>
    <row r="419" spans="3:3" x14ac:dyDescent="0.25">
      <c r="C419" s="43"/>
    </row>
    <row r="420" spans="3:3" x14ac:dyDescent="0.25">
      <c r="C420" s="43"/>
    </row>
    <row r="421" spans="3:3" x14ac:dyDescent="0.25">
      <c r="C421" s="43"/>
    </row>
    <row r="422" spans="3:3" x14ac:dyDescent="0.25">
      <c r="C422" s="43"/>
    </row>
    <row r="423" spans="3:3" x14ac:dyDescent="0.25">
      <c r="C423" s="43"/>
    </row>
    <row r="424" spans="3:3" x14ac:dyDescent="0.25">
      <c r="C424" s="43"/>
    </row>
    <row r="425" spans="3:3" x14ac:dyDescent="0.25">
      <c r="C425" s="43"/>
    </row>
    <row r="426" spans="3:3" x14ac:dyDescent="0.25">
      <c r="C426" s="43"/>
    </row>
    <row r="427" spans="3:3" x14ac:dyDescent="0.25">
      <c r="C427" s="43"/>
    </row>
    <row r="428" spans="3:3" x14ac:dyDescent="0.25">
      <c r="C428" s="43"/>
    </row>
    <row r="429" spans="3:3" x14ac:dyDescent="0.25">
      <c r="C429" s="43"/>
    </row>
    <row r="430" spans="3:3" x14ac:dyDescent="0.25">
      <c r="C430" s="43"/>
    </row>
    <row r="431" spans="3:3" x14ac:dyDescent="0.25">
      <c r="C431" s="43"/>
    </row>
    <row r="432" spans="3:3" x14ac:dyDescent="0.25">
      <c r="C432" s="43"/>
    </row>
    <row r="433" spans="3:3" x14ac:dyDescent="0.25">
      <c r="C433" s="43"/>
    </row>
    <row r="434" spans="3:3" x14ac:dyDescent="0.25">
      <c r="C434" s="43"/>
    </row>
    <row r="435" spans="3:3" x14ac:dyDescent="0.25">
      <c r="C435" s="43"/>
    </row>
    <row r="436" spans="3:3" x14ac:dyDescent="0.25">
      <c r="C436" s="43"/>
    </row>
    <row r="437" spans="3:3" x14ac:dyDescent="0.25">
      <c r="C437" s="43"/>
    </row>
    <row r="438" spans="3:3" x14ac:dyDescent="0.25">
      <c r="C438" s="43"/>
    </row>
    <row r="439" spans="3:3" x14ac:dyDescent="0.25">
      <c r="C439" s="43"/>
    </row>
    <row r="440" spans="3:3" x14ac:dyDescent="0.25">
      <c r="C440" s="43"/>
    </row>
    <row r="441" spans="3:3" x14ac:dyDescent="0.25">
      <c r="C441" s="43"/>
    </row>
    <row r="442" spans="3:3" x14ac:dyDescent="0.25">
      <c r="C442" s="43"/>
    </row>
    <row r="443" spans="3:3" x14ac:dyDescent="0.25">
      <c r="C443" s="43"/>
    </row>
    <row r="444" spans="3:3" x14ac:dyDescent="0.25">
      <c r="C444" s="43"/>
    </row>
    <row r="445" spans="3:3" x14ac:dyDescent="0.25">
      <c r="C445" s="43"/>
    </row>
    <row r="446" spans="3:3" x14ac:dyDescent="0.25">
      <c r="C446" s="43"/>
    </row>
    <row r="447" spans="3:3" x14ac:dyDescent="0.25">
      <c r="C447" s="43"/>
    </row>
    <row r="448" spans="3:3" x14ac:dyDescent="0.25">
      <c r="C448" s="43"/>
    </row>
    <row r="449" spans="3:3" x14ac:dyDescent="0.25">
      <c r="C449" s="43"/>
    </row>
    <row r="450" spans="3:3" x14ac:dyDescent="0.25">
      <c r="C450" s="43"/>
    </row>
    <row r="451" spans="3:3" x14ac:dyDescent="0.25">
      <c r="C451" s="43"/>
    </row>
    <row r="452" spans="3:3" x14ac:dyDescent="0.25">
      <c r="C452" s="43"/>
    </row>
    <row r="453" spans="3:3" x14ac:dyDescent="0.25">
      <c r="C453" s="43"/>
    </row>
    <row r="454" spans="3:3" x14ac:dyDescent="0.25">
      <c r="C454" s="43"/>
    </row>
    <row r="455" spans="3:3" x14ac:dyDescent="0.25">
      <c r="C455" s="43"/>
    </row>
    <row r="456" spans="3:3" x14ac:dyDescent="0.25">
      <c r="C456" s="43"/>
    </row>
    <row r="457" spans="3:3" x14ac:dyDescent="0.25">
      <c r="C457" s="43"/>
    </row>
    <row r="458" spans="3:3" x14ac:dyDescent="0.25">
      <c r="C458" s="43"/>
    </row>
    <row r="459" spans="3:3" x14ac:dyDescent="0.25">
      <c r="C459" s="43"/>
    </row>
    <row r="460" spans="3:3" x14ac:dyDescent="0.25">
      <c r="C460" s="43"/>
    </row>
    <row r="461" spans="3:3" x14ac:dyDescent="0.25">
      <c r="C461" s="43"/>
    </row>
    <row r="462" spans="3:3" x14ac:dyDescent="0.25">
      <c r="C462" s="43"/>
    </row>
    <row r="463" spans="3:3" x14ac:dyDescent="0.25">
      <c r="C463" s="43"/>
    </row>
    <row r="464" spans="3:3" x14ac:dyDescent="0.25">
      <c r="C464" s="43"/>
    </row>
    <row r="465" spans="3:3" x14ac:dyDescent="0.25">
      <c r="C465" s="43"/>
    </row>
    <row r="466" spans="3:3" x14ac:dyDescent="0.25">
      <c r="C466" s="43"/>
    </row>
    <row r="467" spans="3:3" x14ac:dyDescent="0.25">
      <c r="C467" s="43"/>
    </row>
    <row r="468" spans="3:3" x14ac:dyDescent="0.25">
      <c r="C468" s="43"/>
    </row>
    <row r="469" spans="3:3" x14ac:dyDescent="0.25">
      <c r="C469" s="43"/>
    </row>
    <row r="470" spans="3:3" x14ac:dyDescent="0.25">
      <c r="C470" s="43"/>
    </row>
    <row r="471" spans="3:3" x14ac:dyDescent="0.25">
      <c r="C471" s="43"/>
    </row>
    <row r="472" spans="3:3" x14ac:dyDescent="0.25">
      <c r="C472" s="43"/>
    </row>
    <row r="473" spans="3:3" x14ac:dyDescent="0.25">
      <c r="C473" s="43"/>
    </row>
    <row r="474" spans="3:3" x14ac:dyDescent="0.25">
      <c r="C474" s="43"/>
    </row>
    <row r="475" spans="3:3" x14ac:dyDescent="0.25">
      <c r="C475" s="43"/>
    </row>
    <row r="476" spans="3:3" x14ac:dyDescent="0.25">
      <c r="C476" s="43"/>
    </row>
    <row r="477" spans="3:3" x14ac:dyDescent="0.25">
      <c r="C477" s="43"/>
    </row>
    <row r="478" spans="3:3" x14ac:dyDescent="0.25">
      <c r="C478" s="43"/>
    </row>
    <row r="479" spans="3:3" x14ac:dyDescent="0.25">
      <c r="C479" s="43"/>
    </row>
    <row r="480" spans="3:3" x14ac:dyDescent="0.25">
      <c r="C480" s="43"/>
    </row>
    <row r="481" spans="3:3" x14ac:dyDescent="0.25">
      <c r="C481" s="43"/>
    </row>
    <row r="482" spans="3:3" x14ac:dyDescent="0.25">
      <c r="C482" s="43"/>
    </row>
    <row r="483" spans="3:3" x14ac:dyDescent="0.25">
      <c r="C483" s="43"/>
    </row>
    <row r="484" spans="3:3" x14ac:dyDescent="0.25">
      <c r="C484" s="43"/>
    </row>
    <row r="485" spans="3:3" x14ac:dyDescent="0.25">
      <c r="C485" s="43"/>
    </row>
    <row r="486" spans="3:3" x14ac:dyDescent="0.25">
      <c r="C486" s="43"/>
    </row>
    <row r="487" spans="3:3" x14ac:dyDescent="0.25">
      <c r="C487" s="43"/>
    </row>
    <row r="488" spans="3:3" x14ac:dyDescent="0.25">
      <c r="C488" s="43"/>
    </row>
    <row r="489" spans="3:3" x14ac:dyDescent="0.25">
      <c r="C489" s="43"/>
    </row>
    <row r="490" spans="3:3" x14ac:dyDescent="0.25">
      <c r="C490" s="43"/>
    </row>
    <row r="491" spans="3:3" x14ac:dyDescent="0.25">
      <c r="C491" s="43"/>
    </row>
    <row r="492" spans="3:3" x14ac:dyDescent="0.25">
      <c r="C492" s="43"/>
    </row>
    <row r="493" spans="3:3" x14ac:dyDescent="0.25">
      <c r="C493" s="43"/>
    </row>
    <row r="494" spans="3:3" x14ac:dyDescent="0.25">
      <c r="C494" s="43"/>
    </row>
    <row r="495" spans="3:3" x14ac:dyDescent="0.25">
      <c r="C495" s="43"/>
    </row>
    <row r="496" spans="3:3" x14ac:dyDescent="0.25">
      <c r="C496" s="43"/>
    </row>
    <row r="497" spans="3:3" x14ac:dyDescent="0.25">
      <c r="C497" s="43"/>
    </row>
    <row r="498" spans="3:3" x14ac:dyDescent="0.25">
      <c r="C498" s="43"/>
    </row>
    <row r="499" spans="3:3" x14ac:dyDescent="0.25">
      <c r="C499" s="43"/>
    </row>
    <row r="500" spans="3:3" x14ac:dyDescent="0.25">
      <c r="C500" s="43"/>
    </row>
    <row r="501" spans="3:3" x14ac:dyDescent="0.25">
      <c r="C501" s="43"/>
    </row>
    <row r="502" spans="3:3" x14ac:dyDescent="0.25">
      <c r="C502" s="43"/>
    </row>
    <row r="503" spans="3:3" x14ac:dyDescent="0.25">
      <c r="C503" s="43"/>
    </row>
    <row r="504" spans="3:3" x14ac:dyDescent="0.25">
      <c r="C504" s="43"/>
    </row>
    <row r="505" spans="3:3" x14ac:dyDescent="0.25">
      <c r="C505" s="43"/>
    </row>
    <row r="506" spans="3:3" x14ac:dyDescent="0.25">
      <c r="C506" s="43"/>
    </row>
    <row r="507" spans="3:3" x14ac:dyDescent="0.25">
      <c r="C507" s="43"/>
    </row>
    <row r="508" spans="3:3" x14ac:dyDescent="0.25">
      <c r="C508" s="43"/>
    </row>
    <row r="509" spans="3:3" x14ac:dyDescent="0.25">
      <c r="C509" s="43"/>
    </row>
    <row r="510" spans="3:3" x14ac:dyDescent="0.25">
      <c r="C510" s="43"/>
    </row>
    <row r="511" spans="3:3" x14ac:dyDescent="0.25">
      <c r="C511" s="43"/>
    </row>
    <row r="512" spans="3:3" x14ac:dyDescent="0.25">
      <c r="C512" s="43"/>
    </row>
    <row r="513" spans="3:3" x14ac:dyDescent="0.25">
      <c r="C513" s="43"/>
    </row>
    <row r="514" spans="3:3" x14ac:dyDescent="0.25">
      <c r="C514" s="43"/>
    </row>
    <row r="515" spans="3:3" x14ac:dyDescent="0.25">
      <c r="C515" s="43"/>
    </row>
    <row r="516" spans="3:3" x14ac:dyDescent="0.25">
      <c r="C516" s="43"/>
    </row>
    <row r="517" spans="3:3" x14ac:dyDescent="0.25">
      <c r="C517" s="43"/>
    </row>
    <row r="518" spans="3:3" x14ac:dyDescent="0.25">
      <c r="C518" s="43"/>
    </row>
    <row r="519" spans="3:3" x14ac:dyDescent="0.25">
      <c r="C519" s="43"/>
    </row>
    <row r="520" spans="3:3" x14ac:dyDescent="0.25">
      <c r="C520" s="43"/>
    </row>
    <row r="521" spans="3:3" x14ac:dyDescent="0.25">
      <c r="C521" s="43"/>
    </row>
    <row r="522" spans="3:3" x14ac:dyDescent="0.25">
      <c r="C522" s="43"/>
    </row>
    <row r="523" spans="3:3" x14ac:dyDescent="0.25">
      <c r="C523" s="43"/>
    </row>
    <row r="524" spans="3:3" x14ac:dyDescent="0.25">
      <c r="C524" s="43"/>
    </row>
    <row r="525" spans="3:3" x14ac:dyDescent="0.25">
      <c r="C525" s="43"/>
    </row>
    <row r="526" spans="3:3" x14ac:dyDescent="0.25">
      <c r="C526" s="43"/>
    </row>
    <row r="527" spans="3:3" x14ac:dyDescent="0.25">
      <c r="C527" s="43"/>
    </row>
    <row r="528" spans="3:3" x14ac:dyDescent="0.25">
      <c r="C528" s="43"/>
    </row>
    <row r="529" spans="3:3" x14ac:dyDescent="0.25">
      <c r="C529" s="43"/>
    </row>
    <row r="530" spans="3:3" x14ac:dyDescent="0.25">
      <c r="C530" s="43"/>
    </row>
    <row r="531" spans="3:3" x14ac:dyDescent="0.25">
      <c r="C531" s="43"/>
    </row>
    <row r="532" spans="3:3" x14ac:dyDescent="0.25">
      <c r="C532" s="43"/>
    </row>
    <row r="533" spans="3:3" x14ac:dyDescent="0.25">
      <c r="C533" s="43"/>
    </row>
    <row r="534" spans="3:3" x14ac:dyDescent="0.25">
      <c r="C534" s="43"/>
    </row>
    <row r="535" spans="3:3" x14ac:dyDescent="0.25">
      <c r="C535" s="43"/>
    </row>
    <row r="536" spans="3:3" x14ac:dyDescent="0.25">
      <c r="C536" s="43"/>
    </row>
    <row r="537" spans="3:3" x14ac:dyDescent="0.25">
      <c r="C537" s="43"/>
    </row>
    <row r="538" spans="3:3" x14ac:dyDescent="0.25">
      <c r="C538" s="43"/>
    </row>
    <row r="539" spans="3:3" x14ac:dyDescent="0.25">
      <c r="C539" s="43"/>
    </row>
    <row r="540" spans="3:3" x14ac:dyDescent="0.25">
      <c r="C540" s="43"/>
    </row>
    <row r="541" spans="3:3" x14ac:dyDescent="0.25">
      <c r="C541" s="43"/>
    </row>
    <row r="542" spans="3:3" x14ac:dyDescent="0.25">
      <c r="C542" s="43"/>
    </row>
    <row r="543" spans="3:3" x14ac:dyDescent="0.25">
      <c r="C543" s="43"/>
    </row>
    <row r="544" spans="3:3" x14ac:dyDescent="0.25">
      <c r="C544" s="43"/>
    </row>
    <row r="545" spans="3:3" x14ac:dyDescent="0.25">
      <c r="C545" s="43"/>
    </row>
    <row r="546" spans="3:3" x14ac:dyDescent="0.25">
      <c r="C546" s="43"/>
    </row>
    <row r="547" spans="3:3" x14ac:dyDescent="0.25">
      <c r="C547" s="43"/>
    </row>
    <row r="548" spans="3:3" x14ac:dyDescent="0.25">
      <c r="C548" s="43"/>
    </row>
    <row r="549" spans="3:3" x14ac:dyDescent="0.25">
      <c r="C549" s="43"/>
    </row>
    <row r="550" spans="3:3" x14ac:dyDescent="0.25">
      <c r="C550" s="43"/>
    </row>
    <row r="551" spans="3:3" x14ac:dyDescent="0.25">
      <c r="C551" s="43"/>
    </row>
    <row r="552" spans="3:3" x14ac:dyDescent="0.25">
      <c r="C552" s="43"/>
    </row>
    <row r="553" spans="3:3" x14ac:dyDescent="0.25">
      <c r="C553" s="43"/>
    </row>
    <row r="554" spans="3:3" x14ac:dyDescent="0.25">
      <c r="C554" s="43"/>
    </row>
    <row r="555" spans="3:3" x14ac:dyDescent="0.25">
      <c r="C555" s="43"/>
    </row>
    <row r="556" spans="3:3" x14ac:dyDescent="0.25">
      <c r="C556" s="43"/>
    </row>
    <row r="557" spans="3:3" x14ac:dyDescent="0.25">
      <c r="C557" s="43"/>
    </row>
    <row r="558" spans="3:3" x14ac:dyDescent="0.25">
      <c r="C558" s="43"/>
    </row>
    <row r="559" spans="3:3" x14ac:dyDescent="0.25">
      <c r="C559" s="43"/>
    </row>
    <row r="560" spans="3:3" x14ac:dyDescent="0.25">
      <c r="C560" s="43"/>
    </row>
    <row r="561" spans="3:3" x14ac:dyDescent="0.25">
      <c r="C561" s="43"/>
    </row>
    <row r="562" spans="3:3" x14ac:dyDescent="0.25">
      <c r="C562" s="43"/>
    </row>
    <row r="563" spans="3:3" x14ac:dyDescent="0.25">
      <c r="C563" s="43"/>
    </row>
    <row r="564" spans="3:3" x14ac:dyDescent="0.25">
      <c r="C564" s="43"/>
    </row>
    <row r="565" spans="3:3" x14ac:dyDescent="0.25">
      <c r="C565" s="43"/>
    </row>
    <row r="566" spans="3:3" x14ac:dyDescent="0.25">
      <c r="C566" s="43"/>
    </row>
    <row r="567" spans="3:3" x14ac:dyDescent="0.25">
      <c r="C567" s="43"/>
    </row>
    <row r="568" spans="3:3" x14ac:dyDescent="0.25">
      <c r="C568" s="43"/>
    </row>
    <row r="569" spans="3:3" x14ac:dyDescent="0.25">
      <c r="C569" s="43"/>
    </row>
  </sheetData>
  <sortState ref="A120:M172">
    <sortCondition ref="C120:C172"/>
  </sortState>
  <pageMargins left="0.25" right="0.25" top="0.75" bottom="0.75" header="0.3" footer="0.3"/>
  <pageSetup paperSize="5" scale="56" fitToHeight="0" orientation="landscape" r:id="rId1"/>
  <headerFooter>
    <oddHeader>&amp;C&amp;"-,Bold"&amp;12COLLEGE TOTALS INDIVIDUALIZED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I418"/>
  <sheetViews>
    <sheetView zoomScaleNormal="100" workbookViewId="0"/>
  </sheetViews>
  <sheetFormatPr defaultRowHeight="15" outlineLevelRow="1" outlineLevelCol="1" x14ac:dyDescent="0.25"/>
  <cols>
    <col min="1" max="1" width="18.85546875" style="52" bestFit="1" customWidth="1"/>
    <col min="2" max="2" width="9.7109375" style="52" bestFit="1" customWidth="1"/>
    <col min="3" max="3" width="81.28515625" customWidth="1" outlineLevel="1"/>
    <col min="4" max="4" width="23.42578125" bestFit="1" customWidth="1" outlineLevel="1"/>
    <col min="5" max="5" width="14.28515625" style="52" customWidth="1"/>
    <col min="6" max="6" width="34" bestFit="1" customWidth="1"/>
    <col min="7" max="7" width="15.28515625" style="152" bestFit="1" customWidth="1"/>
    <col min="8" max="8" width="15.28515625" style="52" bestFit="1" customWidth="1"/>
  </cols>
  <sheetData>
    <row r="1" spans="1:8" s="8" customFormat="1" ht="47.25" x14ac:dyDescent="0.25">
      <c r="A1" s="3" t="s">
        <v>0</v>
      </c>
      <c r="B1" s="3" t="s">
        <v>1</v>
      </c>
      <c r="C1" s="3" t="s">
        <v>2</v>
      </c>
      <c r="D1" s="3" t="s">
        <v>3</v>
      </c>
      <c r="E1" s="71" t="s">
        <v>343</v>
      </c>
      <c r="F1" s="3" t="s">
        <v>4</v>
      </c>
      <c r="G1" s="151" t="s">
        <v>5</v>
      </c>
      <c r="H1" s="71" t="s">
        <v>344</v>
      </c>
    </row>
    <row r="2" spans="1:8" outlineLevel="1" x14ac:dyDescent="0.25">
      <c r="A2" s="52" t="s">
        <v>47</v>
      </c>
      <c r="B2" s="52">
        <v>2008</v>
      </c>
      <c r="C2" t="s">
        <v>48</v>
      </c>
      <c r="D2" t="s">
        <v>8</v>
      </c>
      <c r="E2" s="79"/>
      <c r="F2" t="s">
        <v>49</v>
      </c>
      <c r="G2" s="152">
        <v>18768000</v>
      </c>
    </row>
    <row r="3" spans="1:8" outlineLevel="1" x14ac:dyDescent="0.25">
      <c r="A3" s="52" t="s">
        <v>47</v>
      </c>
      <c r="B3" s="52">
        <v>2008</v>
      </c>
      <c r="C3" t="s">
        <v>60</v>
      </c>
      <c r="D3" t="s">
        <v>19</v>
      </c>
      <c r="E3" s="79"/>
      <c r="F3" t="s">
        <v>61</v>
      </c>
      <c r="G3" s="152">
        <v>8618208</v>
      </c>
    </row>
    <row r="4" spans="1:8" x14ac:dyDescent="0.25">
      <c r="A4" s="80" t="s">
        <v>326</v>
      </c>
      <c r="B4" s="80">
        <v>2008</v>
      </c>
      <c r="C4" s="50"/>
      <c r="D4" s="50"/>
      <c r="E4" s="77">
        <f>(1-(COUNTIF(D2:D3, "*Competitive Bid*"))/(COUNTA(D2:D3)))</f>
        <v>0.5</v>
      </c>
      <c r="F4" s="50"/>
      <c r="G4" s="153">
        <f>SUM(G2:G3)</f>
        <v>27386208</v>
      </c>
      <c r="H4" s="77">
        <f>G2/G4</f>
        <v>0.68530845891479386</v>
      </c>
    </row>
    <row r="5" spans="1:8" s="19" customFormat="1" outlineLevel="1" x14ac:dyDescent="0.25">
      <c r="A5" s="52" t="s">
        <v>73</v>
      </c>
      <c r="B5" s="52">
        <v>2008</v>
      </c>
      <c r="C5" t="s">
        <v>74</v>
      </c>
      <c r="D5" t="s">
        <v>19</v>
      </c>
      <c r="E5" s="9"/>
      <c r="F5" t="s">
        <v>75</v>
      </c>
      <c r="G5" s="154">
        <v>12143450</v>
      </c>
      <c r="H5" s="114"/>
    </row>
    <row r="6" spans="1:8" x14ac:dyDescent="0.25">
      <c r="A6" s="80" t="s">
        <v>327</v>
      </c>
      <c r="B6" s="80">
        <v>2008</v>
      </c>
      <c r="C6" s="50"/>
      <c r="D6" s="50"/>
      <c r="E6" s="77">
        <f>(1-(COUNTIF(D5, "*Competitive Bid*"))/(COUNTA(D5)))</f>
        <v>0</v>
      </c>
      <c r="F6" s="50"/>
      <c r="G6" s="153">
        <f>SUM(G5)</f>
        <v>12143450</v>
      </c>
      <c r="H6" s="77">
        <f>(SUM(0))/G6</f>
        <v>0</v>
      </c>
    </row>
    <row r="7" spans="1:8" outlineLevel="1" x14ac:dyDescent="0.25">
      <c r="A7" s="52" t="s">
        <v>94</v>
      </c>
      <c r="B7" s="52">
        <v>2008</v>
      </c>
      <c r="C7" t="s">
        <v>99</v>
      </c>
      <c r="D7" t="s">
        <v>8</v>
      </c>
      <c r="E7" s="79"/>
      <c r="F7" t="s">
        <v>9</v>
      </c>
      <c r="G7" s="152">
        <v>51016300</v>
      </c>
    </row>
    <row r="8" spans="1:8" x14ac:dyDescent="0.25">
      <c r="A8" s="80" t="s">
        <v>331</v>
      </c>
      <c r="B8" s="80">
        <v>2008</v>
      </c>
      <c r="C8" s="50"/>
      <c r="D8" s="50"/>
      <c r="E8" s="77">
        <f>(1-((COUNTIF(D7, "*Competitive Bid*"))/(COUNTA(D7))))</f>
        <v>1</v>
      </c>
      <c r="F8" s="50"/>
      <c r="G8" s="153">
        <f>SUM(G7)</f>
        <v>51016300</v>
      </c>
      <c r="H8" s="77">
        <f>G7/G8</f>
        <v>1</v>
      </c>
    </row>
    <row r="9" spans="1:8" outlineLevel="1" x14ac:dyDescent="0.25">
      <c r="A9" s="52" t="s">
        <v>129</v>
      </c>
      <c r="B9" s="52">
        <v>2008</v>
      </c>
      <c r="C9" t="s">
        <v>130</v>
      </c>
      <c r="D9" t="s">
        <v>8</v>
      </c>
      <c r="E9" s="79"/>
      <c r="F9" t="s">
        <v>136</v>
      </c>
      <c r="G9" s="152">
        <v>5424879</v>
      </c>
    </row>
    <row r="10" spans="1:8" outlineLevel="1" x14ac:dyDescent="0.25">
      <c r="A10" s="52" t="s">
        <v>129</v>
      </c>
      <c r="B10" s="52">
        <v>2008</v>
      </c>
      <c r="C10" t="s">
        <v>131</v>
      </c>
      <c r="D10" t="s">
        <v>8</v>
      </c>
      <c r="E10" s="79"/>
      <c r="F10" t="s">
        <v>136</v>
      </c>
      <c r="G10" s="152">
        <v>6059233</v>
      </c>
    </row>
    <row r="11" spans="1:8" outlineLevel="1" x14ac:dyDescent="0.25">
      <c r="A11" s="52" t="s">
        <v>129</v>
      </c>
      <c r="B11" s="52">
        <v>2008</v>
      </c>
      <c r="C11" t="s">
        <v>159</v>
      </c>
      <c r="D11" t="s">
        <v>8</v>
      </c>
      <c r="E11" s="79"/>
      <c r="F11" t="s">
        <v>160</v>
      </c>
      <c r="G11" s="152">
        <v>6958920</v>
      </c>
    </row>
    <row r="12" spans="1:8" outlineLevel="1" x14ac:dyDescent="0.25">
      <c r="A12" s="52" t="s">
        <v>129</v>
      </c>
      <c r="B12" s="52">
        <v>2008</v>
      </c>
      <c r="C12" t="s">
        <v>161</v>
      </c>
      <c r="D12" t="s">
        <v>8</v>
      </c>
      <c r="E12" s="79"/>
      <c r="F12" t="s">
        <v>134</v>
      </c>
      <c r="G12" s="152">
        <v>6387770</v>
      </c>
    </row>
    <row r="13" spans="1:8" outlineLevel="1" x14ac:dyDescent="0.25">
      <c r="A13" s="52" t="s">
        <v>129</v>
      </c>
      <c r="B13" s="52">
        <v>2008</v>
      </c>
      <c r="C13" t="s">
        <v>162</v>
      </c>
      <c r="D13" t="s">
        <v>8</v>
      </c>
      <c r="E13" s="79"/>
      <c r="F13" t="s">
        <v>49</v>
      </c>
      <c r="G13" s="152">
        <v>25897000</v>
      </c>
    </row>
    <row r="14" spans="1:8" outlineLevel="1" x14ac:dyDescent="0.25">
      <c r="A14" s="52" t="s">
        <v>129</v>
      </c>
      <c r="B14" s="52">
        <v>2008</v>
      </c>
      <c r="C14" t="s">
        <v>163</v>
      </c>
      <c r="D14" t="s">
        <v>8</v>
      </c>
      <c r="E14" s="79"/>
      <c r="F14" t="s">
        <v>164</v>
      </c>
      <c r="G14" s="152">
        <v>7542100</v>
      </c>
    </row>
    <row r="15" spans="1:8" outlineLevel="1" x14ac:dyDescent="0.25">
      <c r="A15" s="52" t="s">
        <v>129</v>
      </c>
      <c r="B15" s="52">
        <v>2008</v>
      </c>
      <c r="C15" t="s">
        <v>165</v>
      </c>
      <c r="D15" t="s">
        <v>8</v>
      </c>
      <c r="E15" s="79"/>
      <c r="F15" t="s">
        <v>166</v>
      </c>
      <c r="G15" s="152">
        <v>5775000</v>
      </c>
    </row>
    <row r="16" spans="1:8" outlineLevel="1" x14ac:dyDescent="0.25">
      <c r="A16" s="52" t="s">
        <v>129</v>
      </c>
      <c r="B16" s="52">
        <v>2008</v>
      </c>
      <c r="C16" t="s">
        <v>176</v>
      </c>
      <c r="D16" t="s">
        <v>8</v>
      </c>
      <c r="E16" s="79"/>
      <c r="F16" t="s">
        <v>9</v>
      </c>
      <c r="G16" s="152">
        <v>5879274</v>
      </c>
    </row>
    <row r="17" spans="1:8" outlineLevel="1" x14ac:dyDescent="0.25">
      <c r="A17" s="52" t="s">
        <v>129</v>
      </c>
      <c r="B17" s="52">
        <v>2008</v>
      </c>
      <c r="C17" t="s">
        <v>167</v>
      </c>
      <c r="D17" t="s">
        <v>8</v>
      </c>
      <c r="E17" s="79"/>
      <c r="F17" t="s">
        <v>9</v>
      </c>
      <c r="G17" s="152">
        <v>6568767</v>
      </c>
    </row>
    <row r="18" spans="1:8" outlineLevel="1" x14ac:dyDescent="0.25">
      <c r="A18" s="52" t="s">
        <v>129</v>
      </c>
      <c r="B18" s="52">
        <v>2008</v>
      </c>
      <c r="C18" t="s">
        <v>168</v>
      </c>
      <c r="D18" t="s">
        <v>8</v>
      </c>
      <c r="E18" s="79"/>
      <c r="F18" t="s">
        <v>136</v>
      </c>
      <c r="G18" s="152">
        <v>8173387</v>
      </c>
    </row>
    <row r="19" spans="1:8" outlineLevel="1" x14ac:dyDescent="0.25">
      <c r="A19" s="52" t="s">
        <v>129</v>
      </c>
      <c r="B19" s="52">
        <v>2008</v>
      </c>
      <c r="C19" t="s">
        <v>169</v>
      </c>
      <c r="D19" t="s">
        <v>8</v>
      </c>
      <c r="E19" s="79"/>
      <c r="F19" t="s">
        <v>150</v>
      </c>
      <c r="G19" s="152">
        <v>6321025</v>
      </c>
    </row>
    <row r="20" spans="1:8" x14ac:dyDescent="0.25">
      <c r="A20" s="80" t="s">
        <v>334</v>
      </c>
      <c r="B20" s="80">
        <v>2008</v>
      </c>
      <c r="C20" s="50"/>
      <c r="D20" s="50"/>
      <c r="E20" s="77">
        <f>(1-((COUNTIF(D9:D19, "*Competitive Bid*"))/(COUNTA(D9:D19))))</f>
        <v>1</v>
      </c>
      <c r="F20" s="50"/>
      <c r="G20" s="153">
        <f>SUM(G9:G19)</f>
        <v>90987355</v>
      </c>
      <c r="H20" s="77">
        <f>((SUM(G9:G19))/G20)</f>
        <v>1</v>
      </c>
    </row>
    <row r="21" spans="1:8" outlineLevel="1" x14ac:dyDescent="0.25">
      <c r="A21" s="52" t="s">
        <v>191</v>
      </c>
      <c r="B21" s="52">
        <v>2008</v>
      </c>
      <c r="C21" t="s">
        <v>102</v>
      </c>
      <c r="D21" t="s">
        <v>8</v>
      </c>
      <c r="E21" s="79"/>
      <c r="F21" t="s">
        <v>11</v>
      </c>
      <c r="G21" s="152">
        <v>16190706</v>
      </c>
    </row>
    <row r="22" spans="1:8" outlineLevel="1" x14ac:dyDescent="0.25">
      <c r="A22" s="52" t="s">
        <v>191</v>
      </c>
      <c r="B22" s="52">
        <v>2008</v>
      </c>
      <c r="C22" t="s">
        <v>207</v>
      </c>
      <c r="D22" t="s">
        <v>19</v>
      </c>
      <c r="E22" s="79"/>
      <c r="F22" t="s">
        <v>208</v>
      </c>
      <c r="G22" s="152">
        <v>11559955</v>
      </c>
    </row>
    <row r="23" spans="1:8" outlineLevel="1" x14ac:dyDescent="0.25">
      <c r="A23" s="52" t="s">
        <v>191</v>
      </c>
      <c r="B23" s="52">
        <v>2008</v>
      </c>
      <c r="C23" t="s">
        <v>209</v>
      </c>
      <c r="D23" t="s">
        <v>33</v>
      </c>
      <c r="E23" s="79"/>
      <c r="F23" t="s">
        <v>136</v>
      </c>
      <c r="G23" s="152">
        <v>19548000</v>
      </c>
    </row>
    <row r="24" spans="1:8" x14ac:dyDescent="0.25">
      <c r="A24" s="80" t="s">
        <v>336</v>
      </c>
      <c r="B24" s="80">
        <v>2008</v>
      </c>
      <c r="C24" s="50"/>
      <c r="D24" s="50"/>
      <c r="E24" s="77">
        <f>(1-(COUNTIF(D21:D23, "*Competitive Bid*"))/(COUNTA(D21:D23)))</f>
        <v>0.66666666666666674</v>
      </c>
      <c r="F24" s="50"/>
      <c r="G24" s="153">
        <f>SUM(G21:G23)</f>
        <v>47298661</v>
      </c>
      <c r="H24" s="77">
        <f>((G21+G23)/G24)</f>
        <v>0.75559656963650623</v>
      </c>
    </row>
    <row r="25" spans="1:8" outlineLevel="1" x14ac:dyDescent="0.25">
      <c r="A25" s="52" t="s">
        <v>277</v>
      </c>
      <c r="B25" s="52">
        <v>2008</v>
      </c>
      <c r="C25" t="s">
        <v>278</v>
      </c>
      <c r="D25" t="s">
        <v>8</v>
      </c>
      <c r="E25" s="79"/>
      <c r="F25" t="s">
        <v>49</v>
      </c>
      <c r="G25" s="152">
        <v>8625147</v>
      </c>
    </row>
    <row r="26" spans="1:8" ht="15.75" thickBot="1" x14ac:dyDescent="0.3">
      <c r="A26" s="81" t="s">
        <v>341</v>
      </c>
      <c r="B26" s="81">
        <v>2008</v>
      </c>
      <c r="C26" s="72"/>
      <c r="D26" s="72"/>
      <c r="E26" s="78">
        <f>(1-(COUNTIF(D25, "*Competitive Bid*"))/(COUNTA(D25)))</f>
        <v>1</v>
      </c>
      <c r="F26" s="72"/>
      <c r="G26" s="155">
        <f>SUM(G25)</f>
        <v>8625147</v>
      </c>
      <c r="H26" s="78">
        <f>G25/G26</f>
        <v>1</v>
      </c>
    </row>
    <row r="27" spans="1:8" outlineLevel="1" x14ac:dyDescent="0.25">
      <c r="A27" s="52" t="s">
        <v>23</v>
      </c>
      <c r="B27" s="52">
        <v>2009</v>
      </c>
      <c r="C27" t="s">
        <v>32</v>
      </c>
      <c r="D27" t="s">
        <v>33</v>
      </c>
      <c r="E27" s="79"/>
      <c r="F27" t="s">
        <v>34</v>
      </c>
      <c r="G27" s="152">
        <v>17550000</v>
      </c>
    </row>
    <row r="28" spans="1:8" outlineLevel="1" x14ac:dyDescent="0.25">
      <c r="A28" s="52" t="s">
        <v>23</v>
      </c>
      <c r="B28" s="52">
        <v>2009</v>
      </c>
      <c r="C28" t="s">
        <v>43</v>
      </c>
      <c r="D28" t="s">
        <v>44</v>
      </c>
      <c r="E28" s="79"/>
      <c r="F28" t="s">
        <v>45</v>
      </c>
      <c r="G28" s="152">
        <v>50292000</v>
      </c>
    </row>
    <row r="29" spans="1:8" x14ac:dyDescent="0.25">
      <c r="A29" s="80" t="s">
        <v>323</v>
      </c>
      <c r="B29" s="80">
        <v>2009</v>
      </c>
      <c r="C29" s="46"/>
      <c r="D29" s="46"/>
      <c r="E29" s="77">
        <f>(1-(COUNTIF(D27:D28, "*Competitive Bid*"))/(COUNTA(D27:D28)))</f>
        <v>1</v>
      </c>
      <c r="F29" s="46"/>
      <c r="G29" s="153">
        <f>SUM(G27:G28)</f>
        <v>67842000</v>
      </c>
      <c r="H29" s="77">
        <f>((SUM(G27:G28)/G29))</f>
        <v>1</v>
      </c>
    </row>
    <row r="30" spans="1:8" outlineLevel="1" x14ac:dyDescent="0.25">
      <c r="A30" s="52" t="s">
        <v>47</v>
      </c>
      <c r="B30" s="52">
        <v>2009</v>
      </c>
      <c r="C30" t="s">
        <v>50</v>
      </c>
      <c r="D30" t="s">
        <v>8</v>
      </c>
      <c r="E30" s="79"/>
      <c r="F30" t="s">
        <v>49</v>
      </c>
      <c r="G30" s="152">
        <v>53950000</v>
      </c>
    </row>
    <row r="31" spans="1:8" x14ac:dyDescent="0.25">
      <c r="A31" s="80" t="s">
        <v>326</v>
      </c>
      <c r="B31" s="80">
        <v>2009</v>
      </c>
      <c r="C31" s="46"/>
      <c r="D31" s="46"/>
      <c r="E31" s="77">
        <f>(1-(COUNTIF(D30, "*Competitive Bid*"))/(COUNTA(D30)))</f>
        <v>1</v>
      </c>
      <c r="F31" s="46"/>
      <c r="G31" s="153">
        <f>SUM(G30)</f>
        <v>53950000</v>
      </c>
      <c r="H31" s="77">
        <f>((SUM(G30)/G31))</f>
        <v>1</v>
      </c>
    </row>
    <row r="32" spans="1:8" s="19" customFormat="1" outlineLevel="1" x14ac:dyDescent="0.25">
      <c r="A32" s="52" t="s">
        <v>73</v>
      </c>
      <c r="B32" s="52">
        <v>2009</v>
      </c>
      <c r="C32" t="s">
        <v>76</v>
      </c>
      <c r="D32" t="s">
        <v>19</v>
      </c>
      <c r="E32" s="9"/>
      <c r="F32" t="s">
        <v>77</v>
      </c>
      <c r="G32" s="154">
        <v>16519000</v>
      </c>
      <c r="H32" s="114"/>
    </row>
    <row r="33" spans="1:8" x14ac:dyDescent="0.25">
      <c r="A33" s="80" t="s">
        <v>327</v>
      </c>
      <c r="B33" s="80">
        <v>2009</v>
      </c>
      <c r="C33" s="46"/>
      <c r="D33" s="46"/>
      <c r="E33" s="77">
        <f>(1-(COUNTIF(D32, "*Competitive Bid*"))/(COUNTA(D32)))</f>
        <v>0</v>
      </c>
      <c r="F33" s="46"/>
      <c r="G33" s="153">
        <f>SUM(G32)</f>
        <v>16519000</v>
      </c>
      <c r="H33" s="77">
        <f>(SUM(0))/G33</f>
        <v>0</v>
      </c>
    </row>
    <row r="34" spans="1:8" outlineLevel="1" x14ac:dyDescent="0.25">
      <c r="A34" s="54" t="s">
        <v>119</v>
      </c>
      <c r="B34" s="54">
        <v>2009</v>
      </c>
      <c r="C34" s="6" t="s">
        <v>126</v>
      </c>
      <c r="D34" s="6" t="s">
        <v>19</v>
      </c>
      <c r="E34" s="79"/>
      <c r="F34" s="6" t="s">
        <v>127</v>
      </c>
      <c r="G34" s="156">
        <v>11146300</v>
      </c>
    </row>
    <row r="35" spans="1:8" x14ac:dyDescent="0.25">
      <c r="A35" s="82" t="s">
        <v>333</v>
      </c>
      <c r="B35" s="82">
        <v>2009</v>
      </c>
      <c r="C35" s="75"/>
      <c r="D35" s="75"/>
      <c r="E35" s="77">
        <f>(1-(COUNTIF(D34, "*Competitive Bid*"))/(COUNTA(D34)))</f>
        <v>0</v>
      </c>
      <c r="F35" s="75"/>
      <c r="G35" s="157">
        <f>SUM(G34)</f>
        <v>11146300</v>
      </c>
      <c r="H35" s="77">
        <f>((SUM(0)/G35))</f>
        <v>0</v>
      </c>
    </row>
    <row r="36" spans="1:8" outlineLevel="1" x14ac:dyDescent="0.25">
      <c r="A36" s="52" t="s">
        <v>129</v>
      </c>
      <c r="B36" s="52">
        <v>2009</v>
      </c>
      <c r="C36" t="s">
        <v>139</v>
      </c>
      <c r="D36" t="s">
        <v>8</v>
      </c>
      <c r="E36" s="79"/>
      <c r="F36" t="s">
        <v>9</v>
      </c>
      <c r="G36" s="152">
        <v>8570989</v>
      </c>
    </row>
    <row r="37" spans="1:8" outlineLevel="1" x14ac:dyDescent="0.25">
      <c r="A37" s="52" t="s">
        <v>129</v>
      </c>
      <c r="B37" s="52">
        <v>2009</v>
      </c>
      <c r="C37" t="s">
        <v>132</v>
      </c>
      <c r="D37" t="s">
        <v>8</v>
      </c>
      <c r="E37" s="79"/>
      <c r="F37" t="s">
        <v>9</v>
      </c>
      <c r="G37" s="152">
        <v>5629170</v>
      </c>
    </row>
    <row r="38" spans="1:8" outlineLevel="1" x14ac:dyDescent="0.25">
      <c r="A38" s="52" t="s">
        <v>129</v>
      </c>
      <c r="B38" s="52">
        <v>2009</v>
      </c>
      <c r="C38" t="s">
        <v>170</v>
      </c>
      <c r="D38" t="s">
        <v>8</v>
      </c>
      <c r="E38" s="79"/>
      <c r="F38" t="s">
        <v>171</v>
      </c>
      <c r="G38" s="152">
        <v>10833637</v>
      </c>
    </row>
    <row r="39" spans="1:8" outlineLevel="1" x14ac:dyDescent="0.25">
      <c r="A39" s="52" t="s">
        <v>129</v>
      </c>
      <c r="B39" s="52">
        <v>2009</v>
      </c>
      <c r="C39" t="s">
        <v>172</v>
      </c>
      <c r="D39" t="s">
        <v>8</v>
      </c>
      <c r="E39" s="79"/>
      <c r="F39" t="s">
        <v>173</v>
      </c>
      <c r="G39" s="152">
        <v>10413942</v>
      </c>
    </row>
    <row r="40" spans="1:8" outlineLevel="1" x14ac:dyDescent="0.25">
      <c r="A40" s="52" t="s">
        <v>129</v>
      </c>
      <c r="B40" s="52">
        <v>2009</v>
      </c>
      <c r="C40" t="s">
        <v>174</v>
      </c>
      <c r="D40" t="s">
        <v>8</v>
      </c>
      <c r="E40" s="79"/>
      <c r="F40" t="s">
        <v>9</v>
      </c>
      <c r="G40" s="152">
        <v>13624746</v>
      </c>
    </row>
    <row r="41" spans="1:8" outlineLevel="1" x14ac:dyDescent="0.25">
      <c r="A41" s="52" t="s">
        <v>129</v>
      </c>
      <c r="B41" s="52">
        <v>2009</v>
      </c>
      <c r="C41" t="s">
        <v>175</v>
      </c>
      <c r="D41" t="s">
        <v>8</v>
      </c>
      <c r="E41" s="79"/>
      <c r="F41" t="s">
        <v>9</v>
      </c>
      <c r="G41" s="152">
        <v>9180208</v>
      </c>
    </row>
    <row r="42" spans="1:8" outlineLevel="1" x14ac:dyDescent="0.25">
      <c r="A42" s="52" t="s">
        <v>129</v>
      </c>
      <c r="B42" s="52">
        <v>2009</v>
      </c>
      <c r="C42" t="s">
        <v>179</v>
      </c>
      <c r="D42" t="s">
        <v>33</v>
      </c>
      <c r="E42" s="79"/>
      <c r="F42" t="s">
        <v>9</v>
      </c>
      <c r="G42" s="152">
        <v>12511436</v>
      </c>
    </row>
    <row r="43" spans="1:8" outlineLevel="1" x14ac:dyDescent="0.25">
      <c r="A43" s="52" t="s">
        <v>129</v>
      </c>
      <c r="B43" s="52">
        <v>2009</v>
      </c>
      <c r="C43" t="s">
        <v>180</v>
      </c>
      <c r="D43" t="s">
        <v>33</v>
      </c>
      <c r="E43" s="79"/>
      <c r="F43" t="s">
        <v>9</v>
      </c>
      <c r="G43" s="152">
        <v>10759429</v>
      </c>
    </row>
    <row r="44" spans="1:8" x14ac:dyDescent="0.25">
      <c r="A44" s="80" t="s">
        <v>334</v>
      </c>
      <c r="B44" s="80">
        <v>2009</v>
      </c>
      <c r="C44" s="46"/>
      <c r="D44" s="46"/>
      <c r="E44" s="77">
        <f>(1-(COUNTIF(D36:D43, "*Competitive Bid*"))/(COUNTA(D36:D43)))</f>
        <v>1</v>
      </c>
      <c r="F44" s="46"/>
      <c r="G44" s="153">
        <f>SUM(G36:G43)</f>
        <v>81523557</v>
      </c>
      <c r="H44" s="77">
        <f>((SUM(G36:G43)/G44))</f>
        <v>1</v>
      </c>
    </row>
    <row r="45" spans="1:8" outlineLevel="1" x14ac:dyDescent="0.25">
      <c r="A45" s="52" t="s">
        <v>191</v>
      </c>
      <c r="B45" s="52">
        <v>2009</v>
      </c>
      <c r="C45" t="s">
        <v>192</v>
      </c>
      <c r="D45" t="s">
        <v>8</v>
      </c>
      <c r="E45" s="79"/>
      <c r="F45" t="s">
        <v>143</v>
      </c>
      <c r="G45" s="152">
        <v>50388670</v>
      </c>
    </row>
    <row r="46" spans="1:8" outlineLevel="1" x14ac:dyDescent="0.25">
      <c r="A46" s="52" t="s">
        <v>191</v>
      </c>
      <c r="B46" s="52">
        <v>2009</v>
      </c>
      <c r="C46" t="s">
        <v>193</v>
      </c>
      <c r="D46" t="s">
        <v>8</v>
      </c>
      <c r="E46" s="79"/>
      <c r="F46" t="s">
        <v>52</v>
      </c>
      <c r="G46" s="152">
        <v>24134503</v>
      </c>
    </row>
    <row r="47" spans="1:8" outlineLevel="1" x14ac:dyDescent="0.25">
      <c r="A47" s="52" t="s">
        <v>191</v>
      </c>
      <c r="B47" s="52">
        <v>2009</v>
      </c>
      <c r="C47" t="s">
        <v>194</v>
      </c>
      <c r="D47" t="s">
        <v>8</v>
      </c>
      <c r="E47" s="79"/>
      <c r="F47" t="s">
        <v>11</v>
      </c>
      <c r="G47" s="152">
        <v>8360843</v>
      </c>
    </row>
    <row r="48" spans="1:8" outlineLevel="1" x14ac:dyDescent="0.25">
      <c r="A48" s="52" t="s">
        <v>191</v>
      </c>
      <c r="B48" s="52">
        <v>2009</v>
      </c>
      <c r="C48" t="s">
        <v>210</v>
      </c>
      <c r="D48" t="s">
        <v>33</v>
      </c>
      <c r="E48" s="79"/>
      <c r="F48" t="s">
        <v>143</v>
      </c>
      <c r="G48" s="152">
        <v>12558008</v>
      </c>
    </row>
    <row r="49" spans="1:8" outlineLevel="1" x14ac:dyDescent="0.25">
      <c r="A49" s="52" t="s">
        <v>191</v>
      </c>
      <c r="B49" s="52">
        <v>2009</v>
      </c>
      <c r="C49" t="s">
        <v>219</v>
      </c>
      <c r="D49" t="s">
        <v>44</v>
      </c>
      <c r="E49" s="79"/>
      <c r="F49" t="s">
        <v>220</v>
      </c>
      <c r="G49" s="152">
        <v>59000000</v>
      </c>
    </row>
    <row r="50" spans="1:8" x14ac:dyDescent="0.25">
      <c r="A50" s="80" t="s">
        <v>336</v>
      </c>
      <c r="B50" s="80">
        <v>2009</v>
      </c>
      <c r="C50" s="46"/>
      <c r="D50" s="46"/>
      <c r="E50" s="77">
        <f>(1-(COUNTIF(D45:D49, "*Competitive Bid*"))/(COUNTA(D45:D49)))</f>
        <v>1</v>
      </c>
      <c r="F50" s="46"/>
      <c r="G50" s="153">
        <f>SUM(G45:G49)</f>
        <v>154442024</v>
      </c>
      <c r="H50" s="77">
        <f>((SUM(G45:G49))/G50)</f>
        <v>1</v>
      </c>
    </row>
    <row r="51" spans="1:8" outlineLevel="1" x14ac:dyDescent="0.25">
      <c r="A51" s="52" t="s">
        <v>227</v>
      </c>
      <c r="B51" s="52">
        <v>2009</v>
      </c>
      <c r="C51" t="s">
        <v>232</v>
      </c>
      <c r="D51" t="s">
        <v>8</v>
      </c>
      <c r="E51" s="79"/>
      <c r="F51" t="s">
        <v>143</v>
      </c>
      <c r="G51" s="152">
        <v>24140648</v>
      </c>
    </row>
    <row r="52" spans="1:8" outlineLevel="1" x14ac:dyDescent="0.25">
      <c r="A52" s="52" t="s">
        <v>227</v>
      </c>
      <c r="B52" s="52">
        <v>2009</v>
      </c>
      <c r="C52" t="s">
        <v>241</v>
      </c>
      <c r="D52" t="s">
        <v>8</v>
      </c>
      <c r="E52" s="79"/>
      <c r="F52" t="s">
        <v>69</v>
      </c>
      <c r="G52" s="152">
        <v>15439851</v>
      </c>
    </row>
    <row r="53" spans="1:8" outlineLevel="1" x14ac:dyDescent="0.25">
      <c r="A53" s="52" t="s">
        <v>227</v>
      </c>
      <c r="B53" s="52">
        <v>2009</v>
      </c>
      <c r="C53" t="s">
        <v>242</v>
      </c>
      <c r="D53" t="s">
        <v>8</v>
      </c>
      <c r="E53" s="79"/>
      <c r="F53" t="s">
        <v>11</v>
      </c>
      <c r="G53" s="152">
        <v>19512264</v>
      </c>
    </row>
    <row r="54" spans="1:8" x14ac:dyDescent="0.25">
      <c r="A54" s="80" t="s">
        <v>338</v>
      </c>
      <c r="B54" s="80">
        <v>2009</v>
      </c>
      <c r="C54" s="46"/>
      <c r="D54" s="46"/>
      <c r="E54" s="77">
        <f>(1-(COUNTIF(D51:D53, "*Competitive Bid*"))/(COUNTA(D51:D53)))</f>
        <v>1</v>
      </c>
      <c r="F54" s="46"/>
      <c r="G54" s="153">
        <f>SUM(G51:G53)</f>
        <v>59092763</v>
      </c>
      <c r="H54" s="77">
        <f>((SUM(G51:G53))/G54)</f>
        <v>1</v>
      </c>
    </row>
    <row r="55" spans="1:8" outlineLevel="1" x14ac:dyDescent="0.25">
      <c r="A55" s="52" t="s">
        <v>249</v>
      </c>
      <c r="B55" s="52">
        <v>2009</v>
      </c>
      <c r="C55" t="s">
        <v>250</v>
      </c>
      <c r="D55" t="s">
        <v>8</v>
      </c>
      <c r="E55" s="79"/>
      <c r="F55" t="s">
        <v>52</v>
      </c>
      <c r="G55" s="152">
        <v>62700392</v>
      </c>
    </row>
    <row r="56" spans="1:8" outlineLevel="1" x14ac:dyDescent="0.25">
      <c r="A56" s="52" t="s">
        <v>249</v>
      </c>
      <c r="B56" s="52">
        <v>2009</v>
      </c>
      <c r="C56" t="s">
        <v>251</v>
      </c>
      <c r="D56" t="s">
        <v>8</v>
      </c>
      <c r="E56" s="79"/>
      <c r="F56" t="s">
        <v>58</v>
      </c>
      <c r="G56" s="152">
        <v>39486474</v>
      </c>
    </row>
    <row r="57" spans="1:8" outlineLevel="1" x14ac:dyDescent="0.25">
      <c r="A57" s="52" t="s">
        <v>249</v>
      </c>
      <c r="B57" s="52">
        <v>2009</v>
      </c>
      <c r="C57" t="s">
        <v>252</v>
      </c>
      <c r="D57" t="s">
        <v>8</v>
      </c>
      <c r="E57" s="79"/>
      <c r="F57" t="s">
        <v>58</v>
      </c>
      <c r="G57" s="152">
        <v>14193696</v>
      </c>
    </row>
    <row r="58" spans="1:8" outlineLevel="1" x14ac:dyDescent="0.25">
      <c r="A58" s="52" t="s">
        <v>249</v>
      </c>
      <c r="B58" s="52">
        <v>2009</v>
      </c>
      <c r="C58" t="s">
        <v>253</v>
      </c>
      <c r="D58" t="s">
        <v>8</v>
      </c>
      <c r="E58" s="79"/>
      <c r="F58" t="s">
        <v>229</v>
      </c>
      <c r="G58" s="152">
        <v>15808053</v>
      </c>
    </row>
    <row r="59" spans="1:8" x14ac:dyDescent="0.25">
      <c r="A59" s="80" t="s">
        <v>339</v>
      </c>
      <c r="B59" s="80">
        <v>2009</v>
      </c>
      <c r="C59" s="46"/>
      <c r="D59" s="46"/>
      <c r="E59" s="77">
        <f>(1-(COUNTIF(D55:D58, "*Competitive Bid*"))/(COUNTA(D55:D58)))</f>
        <v>1</v>
      </c>
      <c r="F59" s="46"/>
      <c r="G59" s="153">
        <f>SUM(G55:G58)</f>
        <v>132188615</v>
      </c>
      <c r="H59" s="77">
        <f>((SUM(G55:G58))/G59)</f>
        <v>1</v>
      </c>
    </row>
    <row r="60" spans="1:8" outlineLevel="1" x14ac:dyDescent="0.25">
      <c r="A60" s="52" t="s">
        <v>269</v>
      </c>
      <c r="B60" s="52">
        <v>2009</v>
      </c>
      <c r="C60" t="s">
        <v>270</v>
      </c>
      <c r="D60" t="s">
        <v>8</v>
      </c>
      <c r="E60" s="79"/>
      <c r="F60" t="s">
        <v>75</v>
      </c>
      <c r="G60" s="152">
        <v>11216304</v>
      </c>
    </row>
    <row r="61" spans="1:8" outlineLevel="1" x14ac:dyDescent="0.25">
      <c r="A61" s="52" t="s">
        <v>269</v>
      </c>
      <c r="B61" s="52">
        <v>2009</v>
      </c>
      <c r="C61" t="s">
        <v>271</v>
      </c>
      <c r="D61" t="s">
        <v>8</v>
      </c>
      <c r="E61" s="79"/>
      <c r="F61" t="s">
        <v>75</v>
      </c>
      <c r="G61" s="152">
        <v>13853380</v>
      </c>
    </row>
    <row r="62" spans="1:8" x14ac:dyDescent="0.25">
      <c r="A62" s="80" t="s">
        <v>340</v>
      </c>
      <c r="B62" s="80">
        <v>2009</v>
      </c>
      <c r="C62" s="46"/>
      <c r="D62" s="46"/>
      <c r="E62" s="77">
        <f>(1-(COUNTIF(D60:D61, "*Competitive Bid*"))/(COUNTA(D60:D61)))</f>
        <v>1</v>
      </c>
      <c r="F62" s="46"/>
      <c r="G62" s="153">
        <f>SUM(G60:G61)</f>
        <v>25069684</v>
      </c>
      <c r="H62" s="77">
        <f>((SUM(G60:G61))/G62)</f>
        <v>1</v>
      </c>
    </row>
    <row r="63" spans="1:8" outlineLevel="1" x14ac:dyDescent="0.25">
      <c r="A63" s="52" t="s">
        <v>277</v>
      </c>
      <c r="B63" s="52">
        <v>2009</v>
      </c>
      <c r="C63" t="s">
        <v>279</v>
      </c>
      <c r="D63" t="s">
        <v>8</v>
      </c>
      <c r="E63" s="79"/>
      <c r="F63" t="s">
        <v>11</v>
      </c>
      <c r="G63" s="152">
        <v>5881832</v>
      </c>
    </row>
    <row r="64" spans="1:8" ht="15.75" thickBot="1" x14ac:dyDescent="0.3">
      <c r="A64" s="81" t="s">
        <v>341</v>
      </c>
      <c r="B64" s="81">
        <v>2009</v>
      </c>
      <c r="C64" s="76"/>
      <c r="D64" s="76"/>
      <c r="E64" s="78">
        <f>(1-(COUNTIF(D63, "*Competitive Bid*"))/(COUNTA(D63)))</f>
        <v>1</v>
      </c>
      <c r="F64" s="76"/>
      <c r="G64" s="155">
        <f>SUM(G63)</f>
        <v>5881832</v>
      </c>
      <c r="H64" s="78">
        <f>((SUM(G63))/G64)</f>
        <v>1</v>
      </c>
    </row>
    <row r="65" spans="1:8" outlineLevel="1" x14ac:dyDescent="0.25">
      <c r="A65" s="52" t="s">
        <v>6</v>
      </c>
      <c r="B65" s="52">
        <v>2010</v>
      </c>
      <c r="C65" t="s">
        <v>7</v>
      </c>
      <c r="D65" t="s">
        <v>8</v>
      </c>
      <c r="E65" s="9"/>
      <c r="F65" t="s">
        <v>9</v>
      </c>
      <c r="G65" s="154">
        <v>27800000</v>
      </c>
    </row>
    <row r="66" spans="1:8" outlineLevel="1" x14ac:dyDescent="0.25">
      <c r="A66" s="52" t="s">
        <v>6</v>
      </c>
      <c r="B66" s="52">
        <v>2010</v>
      </c>
      <c r="C66" t="s">
        <v>10</v>
      </c>
      <c r="D66" t="s">
        <v>8</v>
      </c>
      <c r="E66" s="9"/>
      <c r="F66" t="s">
        <v>11</v>
      </c>
      <c r="G66" s="154">
        <v>58700000</v>
      </c>
    </row>
    <row r="67" spans="1:8" x14ac:dyDescent="0.25">
      <c r="A67" s="80" t="s">
        <v>322</v>
      </c>
      <c r="B67" s="80">
        <v>2010</v>
      </c>
      <c r="C67" s="50"/>
      <c r="D67" s="50"/>
      <c r="E67" s="73">
        <f>(1-(COUNTIF(D65:D66, "*Competitive Bid*"))/(COUNTA(D65:D66)))</f>
        <v>1</v>
      </c>
      <c r="F67" s="50"/>
      <c r="G67" s="158">
        <f>SUM(G65:G66)</f>
        <v>86500000</v>
      </c>
      <c r="H67" s="77">
        <f>((SUM(G65:G66))/G67)</f>
        <v>1</v>
      </c>
    </row>
    <row r="68" spans="1:8" outlineLevel="1" x14ac:dyDescent="0.25">
      <c r="A68" s="52" t="s">
        <v>23</v>
      </c>
      <c r="B68" s="52">
        <v>2010</v>
      </c>
      <c r="C68" t="s">
        <v>35</v>
      </c>
      <c r="D68" t="s">
        <v>33</v>
      </c>
      <c r="E68" s="9"/>
      <c r="F68" t="s">
        <v>11</v>
      </c>
      <c r="G68" s="154">
        <v>8140138</v>
      </c>
    </row>
    <row r="69" spans="1:8" outlineLevel="1" x14ac:dyDescent="0.25">
      <c r="A69" s="52" t="s">
        <v>23</v>
      </c>
      <c r="B69" s="52">
        <v>2010</v>
      </c>
      <c r="C69" t="s">
        <v>36</v>
      </c>
      <c r="D69" t="s">
        <v>33</v>
      </c>
      <c r="E69" s="9"/>
      <c r="F69" t="s">
        <v>31</v>
      </c>
      <c r="G69" s="154">
        <v>47457000</v>
      </c>
    </row>
    <row r="70" spans="1:8" x14ac:dyDescent="0.25">
      <c r="A70" s="80" t="s">
        <v>323</v>
      </c>
      <c r="B70" s="80">
        <v>2010</v>
      </c>
      <c r="C70" s="50"/>
      <c r="D70" s="50"/>
      <c r="E70" s="73">
        <f>(1-(COUNTIF(D68:D69, "*Competitive Bid*"))/(COUNTA(D68:D69)))</f>
        <v>1</v>
      </c>
      <c r="F70" s="50"/>
      <c r="G70" s="158">
        <f>SUM(G68:G69)</f>
        <v>55597138</v>
      </c>
      <c r="H70" s="77">
        <f>((SUM(G68:G69))/G70)</f>
        <v>1</v>
      </c>
    </row>
    <row r="71" spans="1:8" outlineLevel="1" x14ac:dyDescent="0.25">
      <c r="A71" s="52" t="s">
        <v>47</v>
      </c>
      <c r="B71" s="52">
        <v>2010</v>
      </c>
      <c r="C71" t="s">
        <v>51</v>
      </c>
      <c r="D71" t="s">
        <v>8</v>
      </c>
      <c r="E71" s="9"/>
      <c r="F71" t="s">
        <v>52</v>
      </c>
      <c r="G71" s="154">
        <v>32926354</v>
      </c>
    </row>
    <row r="72" spans="1:8" outlineLevel="1" x14ac:dyDescent="0.25">
      <c r="A72" s="52" t="s">
        <v>47</v>
      </c>
      <c r="B72" s="52">
        <v>2010</v>
      </c>
      <c r="C72" t="s">
        <v>53</v>
      </c>
      <c r="D72" t="s">
        <v>8</v>
      </c>
      <c r="E72" s="9"/>
      <c r="F72" t="s">
        <v>49</v>
      </c>
      <c r="G72" s="154">
        <v>11394000</v>
      </c>
    </row>
    <row r="73" spans="1:8" outlineLevel="1" x14ac:dyDescent="0.25">
      <c r="A73" s="52" t="s">
        <v>47</v>
      </c>
      <c r="B73" s="52">
        <v>2010</v>
      </c>
      <c r="C73" t="s">
        <v>62</v>
      </c>
      <c r="D73" t="s">
        <v>19</v>
      </c>
      <c r="E73" s="9"/>
      <c r="F73" t="s">
        <v>61</v>
      </c>
      <c r="G73" s="154">
        <v>36200718</v>
      </c>
    </row>
    <row r="74" spans="1:8" outlineLevel="1" x14ac:dyDescent="0.25">
      <c r="A74" s="52" t="s">
        <v>47</v>
      </c>
      <c r="B74" s="52">
        <v>2010</v>
      </c>
      <c r="C74" t="s">
        <v>63</v>
      </c>
      <c r="D74" t="s">
        <v>19</v>
      </c>
      <c r="E74" s="9"/>
      <c r="F74" t="s">
        <v>64</v>
      </c>
      <c r="G74" s="154">
        <v>7698400</v>
      </c>
    </row>
    <row r="75" spans="1:8" x14ac:dyDescent="0.25">
      <c r="A75" s="80" t="s">
        <v>326</v>
      </c>
      <c r="B75" s="80">
        <v>2010</v>
      </c>
      <c r="C75" s="50"/>
      <c r="D75" s="50"/>
      <c r="E75" s="73">
        <f>(1-(COUNTIF(D71:D74, "*Competitive Bid*"))/(COUNTA(D71:D74)))</f>
        <v>0.5</v>
      </c>
      <c r="F75" s="50"/>
      <c r="G75" s="158">
        <f>SUM(G71:G74)</f>
        <v>88219472</v>
      </c>
      <c r="H75" s="77">
        <f>((SUM(G71:G72))/G75)</f>
        <v>0.50238743210795911</v>
      </c>
    </row>
    <row r="76" spans="1:8" outlineLevel="1" x14ac:dyDescent="0.25">
      <c r="A76" s="52" t="s">
        <v>89</v>
      </c>
      <c r="B76" s="52">
        <v>2010</v>
      </c>
      <c r="C76" t="s">
        <v>91</v>
      </c>
      <c r="D76" t="s">
        <v>8</v>
      </c>
      <c r="E76" s="9"/>
      <c r="F76" t="s">
        <v>69</v>
      </c>
      <c r="G76" s="154">
        <v>37079649</v>
      </c>
    </row>
    <row r="77" spans="1:8" outlineLevel="1" x14ac:dyDescent="0.25">
      <c r="A77" s="52" t="s">
        <v>89</v>
      </c>
      <c r="B77" s="52">
        <v>2010</v>
      </c>
      <c r="C77" t="s">
        <v>92</v>
      </c>
      <c r="D77" t="s">
        <v>8</v>
      </c>
      <c r="E77" s="9"/>
      <c r="F77" t="s">
        <v>9</v>
      </c>
      <c r="G77" s="154">
        <v>38633403</v>
      </c>
    </row>
    <row r="78" spans="1:8" x14ac:dyDescent="0.25">
      <c r="A78" s="80" t="s">
        <v>328</v>
      </c>
      <c r="B78" s="80">
        <v>2010</v>
      </c>
      <c r="C78" s="50"/>
      <c r="D78" s="50"/>
      <c r="E78" s="73">
        <f>(1-(COUNTIF(D76:D77, "*Competitive Bid*"))/(COUNTA(D76:D77)))</f>
        <v>1</v>
      </c>
      <c r="F78" s="50"/>
      <c r="G78" s="158">
        <f>SUM(G76:G77)</f>
        <v>75713052</v>
      </c>
      <c r="H78" s="77">
        <f>((SUM(G76:G77))/G78)</f>
        <v>1</v>
      </c>
    </row>
    <row r="79" spans="1:8" outlineLevel="1" x14ac:dyDescent="0.25">
      <c r="A79" s="52" t="s">
        <v>104</v>
      </c>
      <c r="B79" s="52">
        <v>2010</v>
      </c>
      <c r="C79" t="s">
        <v>105</v>
      </c>
      <c r="D79" t="s">
        <v>8</v>
      </c>
      <c r="E79" s="9"/>
      <c r="F79" t="s">
        <v>11</v>
      </c>
      <c r="G79" s="154">
        <v>35657770</v>
      </c>
    </row>
    <row r="80" spans="1:8" outlineLevel="1" x14ac:dyDescent="0.25">
      <c r="A80" s="52" t="s">
        <v>104</v>
      </c>
      <c r="B80" s="52">
        <v>2010</v>
      </c>
      <c r="C80" t="s">
        <v>116</v>
      </c>
      <c r="D80" t="s">
        <v>33</v>
      </c>
      <c r="E80" s="9"/>
      <c r="F80" t="s">
        <v>110</v>
      </c>
      <c r="G80" s="154">
        <v>8481000</v>
      </c>
    </row>
    <row r="81" spans="1:8" x14ac:dyDescent="0.25">
      <c r="A81" s="80" t="s">
        <v>332</v>
      </c>
      <c r="B81" s="80">
        <v>2010</v>
      </c>
      <c r="C81" s="50"/>
      <c r="D81" s="50"/>
      <c r="E81" s="73">
        <f>(1-(COUNTIF(D79:D80, "*Competitive Bid*"))/(COUNTA(D79:D80)))</f>
        <v>1</v>
      </c>
      <c r="F81" s="50"/>
      <c r="G81" s="158">
        <f>SUM(G79:G80)</f>
        <v>44138770</v>
      </c>
      <c r="H81" s="77">
        <f>((SUM(G79:G80))/G81)</f>
        <v>1</v>
      </c>
    </row>
    <row r="82" spans="1:8" outlineLevel="1" x14ac:dyDescent="0.25">
      <c r="A82" s="54" t="s">
        <v>119</v>
      </c>
      <c r="B82" s="54">
        <v>2010</v>
      </c>
      <c r="C82" s="6" t="s">
        <v>128</v>
      </c>
      <c r="D82" s="6" t="s">
        <v>44</v>
      </c>
      <c r="E82" s="17"/>
      <c r="F82" s="6" t="s">
        <v>49</v>
      </c>
      <c r="G82" s="159">
        <v>44642328</v>
      </c>
    </row>
    <row r="83" spans="1:8" x14ac:dyDescent="0.25">
      <c r="A83" s="82" t="s">
        <v>333</v>
      </c>
      <c r="B83" s="82">
        <v>2010</v>
      </c>
      <c r="C83" s="74"/>
      <c r="D83" s="74"/>
      <c r="E83" s="83">
        <f>(1-(COUNTIF(D82, "*Competitive Bid*"))/(COUNTA(D82)))</f>
        <v>1</v>
      </c>
      <c r="F83" s="74"/>
      <c r="G83" s="160">
        <f>SUM(G82)</f>
        <v>44642328</v>
      </c>
      <c r="H83" s="77">
        <f>((SUM(G82))/G83)</f>
        <v>1</v>
      </c>
    </row>
    <row r="84" spans="1:8" outlineLevel="1" x14ac:dyDescent="0.25">
      <c r="A84" s="52" t="s">
        <v>129</v>
      </c>
      <c r="B84" s="52">
        <v>2010</v>
      </c>
      <c r="C84" t="s">
        <v>133</v>
      </c>
      <c r="D84" t="s">
        <v>8</v>
      </c>
      <c r="E84" s="9"/>
      <c r="F84" t="s">
        <v>134</v>
      </c>
      <c r="G84" s="154">
        <v>13352272</v>
      </c>
    </row>
    <row r="85" spans="1:8" outlineLevel="1" x14ac:dyDescent="0.25">
      <c r="A85" s="52" t="s">
        <v>129</v>
      </c>
      <c r="B85" s="52">
        <v>2010</v>
      </c>
      <c r="C85" t="s">
        <v>135</v>
      </c>
      <c r="D85" t="s">
        <v>8</v>
      </c>
      <c r="E85" s="9"/>
      <c r="F85" t="s">
        <v>9</v>
      </c>
      <c r="G85" s="154">
        <v>8085128</v>
      </c>
    </row>
    <row r="86" spans="1:8" outlineLevel="1" x14ac:dyDescent="0.25">
      <c r="A86" s="52" t="s">
        <v>129</v>
      </c>
      <c r="B86" s="52">
        <v>2010</v>
      </c>
      <c r="C86" t="s">
        <v>137</v>
      </c>
      <c r="D86" t="s">
        <v>8</v>
      </c>
      <c r="E86" s="9"/>
      <c r="F86" t="s">
        <v>136</v>
      </c>
      <c r="G86" s="154">
        <v>5822481</v>
      </c>
    </row>
    <row r="87" spans="1:8" outlineLevel="1" x14ac:dyDescent="0.25">
      <c r="A87" s="52" t="s">
        <v>129</v>
      </c>
      <c r="B87" s="52">
        <v>2010</v>
      </c>
      <c r="C87" t="s">
        <v>138</v>
      </c>
      <c r="D87" t="s">
        <v>8</v>
      </c>
      <c r="E87" s="9"/>
      <c r="F87" t="s">
        <v>9</v>
      </c>
      <c r="G87" s="154">
        <v>6208697</v>
      </c>
    </row>
    <row r="88" spans="1:8" outlineLevel="1" x14ac:dyDescent="0.25">
      <c r="A88" s="52" t="s">
        <v>129</v>
      </c>
      <c r="B88" s="52">
        <v>2010</v>
      </c>
      <c r="C88" t="s">
        <v>140</v>
      </c>
      <c r="D88" t="s">
        <v>8</v>
      </c>
      <c r="E88" s="9"/>
      <c r="F88" t="s">
        <v>141</v>
      </c>
      <c r="G88" s="154">
        <v>19198486</v>
      </c>
    </row>
    <row r="89" spans="1:8" outlineLevel="1" x14ac:dyDescent="0.25">
      <c r="A89" s="52" t="s">
        <v>129</v>
      </c>
      <c r="B89" s="52">
        <v>2010</v>
      </c>
      <c r="C89" t="s">
        <v>177</v>
      </c>
      <c r="D89" t="s">
        <v>19</v>
      </c>
      <c r="E89" s="9"/>
      <c r="F89" t="s">
        <v>178</v>
      </c>
      <c r="G89" s="154">
        <v>6962228</v>
      </c>
    </row>
    <row r="90" spans="1:8" outlineLevel="1" x14ac:dyDescent="0.25">
      <c r="A90" s="52" t="s">
        <v>129</v>
      </c>
      <c r="B90" s="52">
        <v>2010</v>
      </c>
      <c r="C90" t="s">
        <v>181</v>
      </c>
      <c r="D90" t="s">
        <v>33</v>
      </c>
      <c r="E90" s="9"/>
      <c r="F90" t="s">
        <v>9</v>
      </c>
      <c r="G90" s="154">
        <v>26667697</v>
      </c>
    </row>
    <row r="91" spans="1:8" x14ac:dyDescent="0.25">
      <c r="A91" s="80" t="s">
        <v>334</v>
      </c>
      <c r="B91" s="80">
        <v>2010</v>
      </c>
      <c r="C91" s="50"/>
      <c r="D91" s="50"/>
      <c r="E91" s="73">
        <f>(1-(COUNTIF(D84:D90, "*Competitive Bid*"))/(COUNTA(D84:D90)))</f>
        <v>0.85714285714285721</v>
      </c>
      <c r="F91" s="50"/>
      <c r="G91" s="158">
        <f>SUM(G84:G90)</f>
        <v>86296989</v>
      </c>
      <c r="H91" s="77">
        <f>(((SUM(G84:G88)+G90))/G91)</f>
        <v>0.91932246906088466</v>
      </c>
    </row>
    <row r="92" spans="1:8" outlineLevel="1" x14ac:dyDescent="0.25">
      <c r="A92" s="52" t="s">
        <v>191</v>
      </c>
      <c r="B92" s="52">
        <v>2010</v>
      </c>
      <c r="C92" t="s">
        <v>195</v>
      </c>
      <c r="D92" t="s">
        <v>8</v>
      </c>
      <c r="E92" s="9"/>
      <c r="F92" t="s">
        <v>196</v>
      </c>
      <c r="G92" s="154">
        <v>7052618</v>
      </c>
    </row>
    <row r="93" spans="1:8" outlineLevel="1" x14ac:dyDescent="0.25">
      <c r="A93" s="52" t="s">
        <v>191</v>
      </c>
      <c r="B93" s="52">
        <v>2010</v>
      </c>
      <c r="C93" t="s">
        <v>197</v>
      </c>
      <c r="D93" t="s">
        <v>8</v>
      </c>
      <c r="E93" s="9"/>
      <c r="F93" t="s">
        <v>75</v>
      </c>
      <c r="G93" s="154">
        <v>6648316</v>
      </c>
    </row>
    <row r="94" spans="1:8" x14ac:dyDescent="0.25">
      <c r="A94" s="80" t="s">
        <v>336</v>
      </c>
      <c r="B94" s="80">
        <v>2010</v>
      </c>
      <c r="C94" s="50"/>
      <c r="D94" s="50"/>
      <c r="E94" s="73">
        <f>(1-(COUNTIF(D92:D93, "*Competitive Bid*"))/(COUNTA(D92:D93)))</f>
        <v>1</v>
      </c>
      <c r="F94" s="50"/>
      <c r="G94" s="158">
        <f>SUM(G92:G93)</f>
        <v>13700934</v>
      </c>
      <c r="H94" s="77">
        <f>((SUM(G92:G93))/G94)</f>
        <v>1</v>
      </c>
    </row>
    <row r="95" spans="1:8" outlineLevel="1" x14ac:dyDescent="0.25">
      <c r="A95" s="52" t="s">
        <v>227</v>
      </c>
      <c r="B95" s="52">
        <v>2010</v>
      </c>
      <c r="C95" t="s">
        <v>233</v>
      </c>
      <c r="D95" t="s">
        <v>8</v>
      </c>
      <c r="E95" s="9"/>
      <c r="F95" t="s">
        <v>146</v>
      </c>
      <c r="G95" s="154">
        <v>22719587</v>
      </c>
    </row>
    <row r="96" spans="1:8" outlineLevel="1" x14ac:dyDescent="0.25">
      <c r="A96" s="52" t="s">
        <v>227</v>
      </c>
      <c r="B96" s="52">
        <v>2010</v>
      </c>
      <c r="C96" t="s">
        <v>234</v>
      </c>
      <c r="D96" t="s">
        <v>8</v>
      </c>
      <c r="E96" s="9"/>
      <c r="F96" t="s">
        <v>34</v>
      </c>
      <c r="G96" s="154">
        <v>18237546</v>
      </c>
    </row>
    <row r="97" spans="1:8" outlineLevel="1" x14ac:dyDescent="0.25">
      <c r="A97" s="52" t="s">
        <v>227</v>
      </c>
      <c r="B97" s="52">
        <v>2010</v>
      </c>
      <c r="C97" t="s">
        <v>243</v>
      </c>
      <c r="D97" t="s">
        <v>8</v>
      </c>
      <c r="E97" s="9"/>
      <c r="F97" t="s">
        <v>146</v>
      </c>
      <c r="G97" s="154">
        <v>36000000</v>
      </c>
    </row>
    <row r="98" spans="1:8" outlineLevel="1" x14ac:dyDescent="0.25">
      <c r="A98" s="52" t="s">
        <v>227</v>
      </c>
      <c r="B98" s="52">
        <v>2010</v>
      </c>
      <c r="C98" t="s">
        <v>244</v>
      </c>
      <c r="D98" t="s">
        <v>8</v>
      </c>
      <c r="E98" s="9"/>
      <c r="F98" t="s">
        <v>52</v>
      </c>
      <c r="G98" s="154">
        <v>16395401</v>
      </c>
    </row>
    <row r="99" spans="1:8" x14ac:dyDescent="0.25">
      <c r="A99" s="80" t="s">
        <v>338</v>
      </c>
      <c r="B99" s="80">
        <v>2010</v>
      </c>
      <c r="C99" s="50"/>
      <c r="D99" s="50"/>
      <c r="E99" s="73">
        <f>(1-(COUNTIF(D95:D98, "*Competitive Bid*"))/(COUNTA(D95:D98)))</f>
        <v>1</v>
      </c>
      <c r="F99" s="50"/>
      <c r="G99" s="158">
        <f>SUM(G95:G98)</f>
        <v>93352534</v>
      </c>
      <c r="H99" s="77">
        <f>((SUM(G95:G98))/G99)</f>
        <v>1</v>
      </c>
    </row>
    <row r="100" spans="1:8" outlineLevel="1" x14ac:dyDescent="0.25">
      <c r="A100" s="52" t="s">
        <v>249</v>
      </c>
      <c r="B100" s="52">
        <v>2010</v>
      </c>
      <c r="C100" t="s">
        <v>254</v>
      </c>
      <c r="D100" t="s">
        <v>8</v>
      </c>
      <c r="E100" s="9"/>
      <c r="F100" t="s">
        <v>146</v>
      </c>
      <c r="G100" s="154">
        <v>97010971</v>
      </c>
    </row>
    <row r="101" spans="1:8" ht="15.75" thickBot="1" x14ac:dyDescent="0.3">
      <c r="A101" s="81" t="s">
        <v>339</v>
      </c>
      <c r="B101" s="81">
        <v>2010</v>
      </c>
      <c r="C101" s="72"/>
      <c r="D101" s="72"/>
      <c r="E101" s="78">
        <f>(1-(COUNTIF(D100, "*Competitive Bid*"))/(COUNTA(D100)))</f>
        <v>1</v>
      </c>
      <c r="F101" s="72"/>
      <c r="G101" s="155">
        <f>SUM(G100)</f>
        <v>97010971</v>
      </c>
      <c r="H101" s="78">
        <f>((SUM(G100))/G101)</f>
        <v>1</v>
      </c>
    </row>
    <row r="102" spans="1:8" outlineLevel="1" x14ac:dyDescent="0.25">
      <c r="A102" s="52" t="s">
        <v>6</v>
      </c>
      <c r="B102" s="52">
        <v>2011</v>
      </c>
      <c r="C102" t="s">
        <v>12</v>
      </c>
      <c r="D102" t="s">
        <v>8</v>
      </c>
      <c r="E102" s="9"/>
      <c r="F102" t="s">
        <v>11</v>
      </c>
      <c r="G102" s="154">
        <v>16400000</v>
      </c>
    </row>
    <row r="103" spans="1:8" outlineLevel="1" x14ac:dyDescent="0.25">
      <c r="A103" s="52" t="s">
        <v>6</v>
      </c>
      <c r="B103" s="52">
        <v>2011</v>
      </c>
      <c r="C103" t="s">
        <v>13</v>
      </c>
      <c r="D103" t="s">
        <v>8</v>
      </c>
      <c r="E103" s="9"/>
      <c r="F103" t="s">
        <v>11</v>
      </c>
      <c r="G103" s="154">
        <v>45100000</v>
      </c>
    </row>
    <row r="104" spans="1:8" x14ac:dyDescent="0.25">
      <c r="A104" s="80" t="s">
        <v>322</v>
      </c>
      <c r="B104" s="80">
        <v>2011</v>
      </c>
      <c r="C104" s="50"/>
      <c r="D104" s="50"/>
      <c r="E104" s="73">
        <f>(1-(COUNTIF(D102:D103, "*Competitive Bid*"))/(COUNTA(D102:D103)))</f>
        <v>1</v>
      </c>
      <c r="F104" s="50"/>
      <c r="G104" s="158">
        <f>SUM(G102:G103)</f>
        <v>61500000</v>
      </c>
      <c r="H104" s="77">
        <f>((SUM(G102:G103))/G104)</f>
        <v>1</v>
      </c>
    </row>
    <row r="105" spans="1:8" outlineLevel="1" x14ac:dyDescent="0.25">
      <c r="A105" s="52" t="s">
        <v>23</v>
      </c>
      <c r="B105" s="52">
        <v>2011</v>
      </c>
      <c r="C105" t="s">
        <v>26</v>
      </c>
      <c r="D105" t="s">
        <v>19</v>
      </c>
      <c r="E105" s="9"/>
      <c r="F105" t="s">
        <v>27</v>
      </c>
      <c r="G105" s="154">
        <v>6877000</v>
      </c>
    </row>
    <row r="106" spans="1:8" outlineLevel="1" x14ac:dyDescent="0.25">
      <c r="A106" s="52" t="s">
        <v>23</v>
      </c>
      <c r="B106" s="52">
        <v>2011</v>
      </c>
      <c r="C106" t="s">
        <v>37</v>
      </c>
      <c r="D106" t="s">
        <v>33</v>
      </c>
      <c r="E106" s="9"/>
      <c r="F106" t="s">
        <v>9</v>
      </c>
      <c r="G106" s="154">
        <v>11798750</v>
      </c>
    </row>
    <row r="107" spans="1:8" x14ac:dyDescent="0.25">
      <c r="A107" s="80" t="s">
        <v>323</v>
      </c>
      <c r="B107" s="80">
        <v>2011</v>
      </c>
      <c r="C107" s="50"/>
      <c r="D107" s="50"/>
      <c r="E107" s="73">
        <f>(1-(COUNTIF(D105:D106, "*Competitive Bid*"))/(COUNTA(D105:D106)))</f>
        <v>0.5</v>
      </c>
      <c r="F107" s="50"/>
      <c r="G107" s="158">
        <f>SUM(G105:G106)</f>
        <v>18675750</v>
      </c>
      <c r="H107" s="77">
        <f>((SUM(G106))/G107)</f>
        <v>0.63176846980710277</v>
      </c>
    </row>
    <row r="108" spans="1:8" outlineLevel="1" x14ac:dyDescent="0.25">
      <c r="A108" s="52" t="s">
        <v>94</v>
      </c>
      <c r="B108" s="52">
        <v>2011</v>
      </c>
      <c r="C108" t="s">
        <v>95</v>
      </c>
      <c r="D108" t="s">
        <v>8</v>
      </c>
      <c r="E108" s="9"/>
      <c r="F108" t="s">
        <v>52</v>
      </c>
      <c r="G108" s="154">
        <v>14289497</v>
      </c>
    </row>
    <row r="109" spans="1:8" x14ac:dyDescent="0.25">
      <c r="A109" s="80" t="s">
        <v>331</v>
      </c>
      <c r="B109" s="80">
        <v>2011</v>
      </c>
      <c r="C109" s="50"/>
      <c r="D109" s="50"/>
      <c r="E109" s="73">
        <f>(1-(COUNTIF(D108, "*Competitive Bid*"))/(COUNTA(D108)))</f>
        <v>1</v>
      </c>
      <c r="F109" s="50"/>
      <c r="G109" s="158">
        <f>SUM(G108)</f>
        <v>14289497</v>
      </c>
      <c r="H109" s="77">
        <f>((SUM(G108))/G109)</f>
        <v>1</v>
      </c>
    </row>
    <row r="110" spans="1:8" outlineLevel="1" x14ac:dyDescent="0.25">
      <c r="A110" s="52" t="s">
        <v>104</v>
      </c>
      <c r="B110" s="52">
        <v>2011</v>
      </c>
      <c r="C110" t="s">
        <v>109</v>
      </c>
      <c r="D110" t="s">
        <v>19</v>
      </c>
      <c r="E110" s="9"/>
      <c r="F110" t="s">
        <v>110</v>
      </c>
      <c r="G110" s="154">
        <v>10280000</v>
      </c>
    </row>
    <row r="111" spans="1:8" x14ac:dyDescent="0.25">
      <c r="A111" s="80" t="s">
        <v>332</v>
      </c>
      <c r="B111" s="80">
        <v>2011</v>
      </c>
      <c r="C111" s="50"/>
      <c r="D111" s="50"/>
      <c r="E111" s="73">
        <f>(1-(COUNTIF(D110, "*Competitive Bid*"))/(COUNTA(D110)))</f>
        <v>0</v>
      </c>
      <c r="F111" s="50"/>
      <c r="G111" s="158">
        <f>SUM(G110)</f>
        <v>10280000</v>
      </c>
      <c r="H111" s="77">
        <f>((SUM(0))/G111)</f>
        <v>0</v>
      </c>
    </row>
    <row r="112" spans="1:8" outlineLevel="1" x14ac:dyDescent="0.25">
      <c r="A112" s="52" t="s">
        <v>119</v>
      </c>
      <c r="B112" s="52">
        <v>2011</v>
      </c>
      <c r="C112" t="s">
        <v>120</v>
      </c>
      <c r="D112" t="s">
        <v>121</v>
      </c>
      <c r="E112" s="9"/>
      <c r="F112" t="s">
        <v>58</v>
      </c>
      <c r="G112" s="154">
        <v>13631733</v>
      </c>
    </row>
    <row r="113" spans="1:8" x14ac:dyDescent="0.25">
      <c r="A113" s="80" t="s">
        <v>333</v>
      </c>
      <c r="B113" s="80">
        <v>2011</v>
      </c>
      <c r="C113" s="50"/>
      <c r="D113" s="50"/>
      <c r="E113" s="73">
        <f>(1-(COUNTIF(D112, "*Competitive Bid*"))/(COUNTA(D112)))</f>
        <v>1</v>
      </c>
      <c r="F113" s="50"/>
      <c r="G113" s="158">
        <f>SUM(G112)</f>
        <v>13631733</v>
      </c>
      <c r="H113" s="77">
        <f>((SUM(G112))/G113)</f>
        <v>1</v>
      </c>
    </row>
    <row r="114" spans="1:8" outlineLevel="1" x14ac:dyDescent="0.25">
      <c r="A114" s="52" t="s">
        <v>129</v>
      </c>
      <c r="B114" s="52">
        <v>2011</v>
      </c>
      <c r="C114" t="s">
        <v>142</v>
      </c>
      <c r="D114" t="s">
        <v>8</v>
      </c>
      <c r="E114" s="9"/>
      <c r="F114" t="s">
        <v>143</v>
      </c>
      <c r="G114" s="154">
        <v>42436184</v>
      </c>
    </row>
    <row r="115" spans="1:8" outlineLevel="1" x14ac:dyDescent="0.25">
      <c r="A115" s="52" t="s">
        <v>129</v>
      </c>
      <c r="B115" s="52">
        <v>2011</v>
      </c>
      <c r="C115" t="s">
        <v>144</v>
      </c>
      <c r="D115" t="s">
        <v>8</v>
      </c>
      <c r="E115" s="9"/>
      <c r="F115" t="s">
        <v>61</v>
      </c>
      <c r="G115" s="154">
        <v>7543056</v>
      </c>
    </row>
    <row r="116" spans="1:8" outlineLevel="1" x14ac:dyDescent="0.25">
      <c r="A116" s="52" t="s">
        <v>129</v>
      </c>
      <c r="B116" s="52">
        <v>2011</v>
      </c>
      <c r="C116" t="s">
        <v>182</v>
      </c>
      <c r="D116" t="s">
        <v>33</v>
      </c>
      <c r="E116" s="9"/>
      <c r="F116" t="s">
        <v>9</v>
      </c>
      <c r="G116" s="154">
        <v>19078457</v>
      </c>
    </row>
    <row r="117" spans="1:8" outlineLevel="1" x14ac:dyDescent="0.25">
      <c r="A117" s="52" t="s">
        <v>129</v>
      </c>
      <c r="B117" s="52">
        <v>2011</v>
      </c>
      <c r="C117" t="s">
        <v>183</v>
      </c>
      <c r="D117" t="s">
        <v>184</v>
      </c>
      <c r="E117" s="9"/>
      <c r="F117" t="s">
        <v>185</v>
      </c>
      <c r="G117" s="154">
        <v>8080574</v>
      </c>
    </row>
    <row r="118" spans="1:8" x14ac:dyDescent="0.25">
      <c r="A118" s="80" t="s">
        <v>334</v>
      </c>
      <c r="B118" s="80">
        <v>2011</v>
      </c>
      <c r="C118" s="50"/>
      <c r="D118" s="50"/>
      <c r="E118" s="73">
        <f>(1-(COUNTIF(D114:D117, "*Competitive Bid*"))/(COUNTA(D114:D117)))</f>
        <v>1</v>
      </c>
      <c r="F118" s="50"/>
      <c r="G118" s="158">
        <f>SUM(G114:G117)</f>
        <v>77138271</v>
      </c>
      <c r="H118" s="77">
        <f>((SUM(G114:G117))/G118)</f>
        <v>1</v>
      </c>
    </row>
    <row r="119" spans="1:8" outlineLevel="1" x14ac:dyDescent="0.25">
      <c r="A119" s="52" t="s">
        <v>191</v>
      </c>
      <c r="B119" s="52">
        <v>2011</v>
      </c>
      <c r="C119" t="s">
        <v>198</v>
      </c>
      <c r="D119" t="s">
        <v>8</v>
      </c>
      <c r="E119" s="9"/>
      <c r="F119" t="s">
        <v>178</v>
      </c>
      <c r="G119" s="154">
        <v>71990000</v>
      </c>
    </row>
    <row r="120" spans="1:8" outlineLevel="1" x14ac:dyDescent="0.25">
      <c r="A120" s="52" t="s">
        <v>191</v>
      </c>
      <c r="B120" s="52">
        <v>2011</v>
      </c>
      <c r="C120" t="s">
        <v>199</v>
      </c>
      <c r="D120" t="s">
        <v>8</v>
      </c>
      <c r="E120" s="9"/>
      <c r="F120" t="s">
        <v>52</v>
      </c>
      <c r="G120" s="154">
        <v>33376000</v>
      </c>
    </row>
    <row r="121" spans="1:8" outlineLevel="1" x14ac:dyDescent="0.25">
      <c r="A121" s="52" t="s">
        <v>191</v>
      </c>
      <c r="B121" s="52">
        <v>2011</v>
      </c>
      <c r="C121" t="s">
        <v>200</v>
      </c>
      <c r="D121" t="s">
        <v>8</v>
      </c>
      <c r="E121" s="9"/>
      <c r="F121" t="s">
        <v>75</v>
      </c>
      <c r="G121" s="154">
        <v>5246503</v>
      </c>
    </row>
    <row r="122" spans="1:8" outlineLevel="1" x14ac:dyDescent="0.25">
      <c r="A122" s="52" t="s">
        <v>191</v>
      </c>
      <c r="B122" s="52">
        <v>2011</v>
      </c>
      <c r="C122" t="s">
        <v>201</v>
      </c>
      <c r="D122" t="s">
        <v>8</v>
      </c>
      <c r="E122" s="9"/>
      <c r="F122" t="s">
        <v>9</v>
      </c>
      <c r="G122" s="154">
        <v>9500000</v>
      </c>
    </row>
    <row r="123" spans="1:8" outlineLevel="1" x14ac:dyDescent="0.25">
      <c r="A123" s="52" t="s">
        <v>191</v>
      </c>
      <c r="B123" s="52">
        <v>2011</v>
      </c>
      <c r="C123" t="s">
        <v>202</v>
      </c>
      <c r="D123" t="s">
        <v>8</v>
      </c>
      <c r="E123" s="9"/>
      <c r="F123" t="s">
        <v>146</v>
      </c>
      <c r="G123" s="154">
        <v>66358823</v>
      </c>
    </row>
    <row r="124" spans="1:8" outlineLevel="1" x14ac:dyDescent="0.25">
      <c r="A124" s="52" t="s">
        <v>191</v>
      </c>
      <c r="B124" s="52">
        <v>2011</v>
      </c>
      <c r="C124" t="s">
        <v>203</v>
      </c>
      <c r="D124" t="s">
        <v>8</v>
      </c>
      <c r="E124" s="9"/>
      <c r="F124" t="s">
        <v>52</v>
      </c>
      <c r="G124" s="154">
        <v>42084845</v>
      </c>
    </row>
    <row r="125" spans="1:8" outlineLevel="1" x14ac:dyDescent="0.25">
      <c r="A125" s="52" t="s">
        <v>191</v>
      </c>
      <c r="B125" s="52">
        <v>2011</v>
      </c>
      <c r="C125" t="s">
        <v>211</v>
      </c>
      <c r="D125" t="s">
        <v>33</v>
      </c>
      <c r="E125" s="9"/>
      <c r="F125" t="s">
        <v>141</v>
      </c>
      <c r="G125" s="154">
        <v>10780000</v>
      </c>
    </row>
    <row r="126" spans="1:8" outlineLevel="1" x14ac:dyDescent="0.25">
      <c r="A126" s="52" t="s">
        <v>191</v>
      </c>
      <c r="B126" s="52">
        <v>2011</v>
      </c>
      <c r="C126" t="s">
        <v>221</v>
      </c>
      <c r="D126" t="s">
        <v>44</v>
      </c>
      <c r="E126" s="9"/>
      <c r="F126" t="s">
        <v>220</v>
      </c>
      <c r="G126" s="154">
        <v>9600000</v>
      </c>
    </row>
    <row r="127" spans="1:8" x14ac:dyDescent="0.25">
      <c r="A127" s="80" t="s">
        <v>336</v>
      </c>
      <c r="B127" s="80">
        <v>2011</v>
      </c>
      <c r="C127" s="50"/>
      <c r="D127" s="50"/>
      <c r="E127" s="73">
        <f>(1-(COUNTIF(D119:D126, "*Competitive Bid*"))/(COUNTA(D119:D126)))</f>
        <v>1</v>
      </c>
      <c r="F127" s="50"/>
      <c r="G127" s="158">
        <f>SUM(G119:G126)</f>
        <v>248936171</v>
      </c>
      <c r="H127" s="77">
        <f>((SUM(G119:G126))/G127)</f>
        <v>1</v>
      </c>
    </row>
    <row r="128" spans="1:8" outlineLevel="1" x14ac:dyDescent="0.25">
      <c r="A128" s="52" t="s">
        <v>227</v>
      </c>
      <c r="B128" s="52">
        <v>2011</v>
      </c>
      <c r="C128" t="s">
        <v>235</v>
      </c>
      <c r="D128" t="s">
        <v>8</v>
      </c>
      <c r="E128" s="9"/>
      <c r="F128" t="s">
        <v>11</v>
      </c>
      <c r="G128" s="154">
        <v>27386900</v>
      </c>
    </row>
    <row r="129" spans="1:8" outlineLevel="1" x14ac:dyDescent="0.25">
      <c r="A129" s="52" t="s">
        <v>227</v>
      </c>
      <c r="B129" s="52">
        <v>2011</v>
      </c>
      <c r="C129" t="s">
        <v>245</v>
      </c>
      <c r="D129" t="s">
        <v>8</v>
      </c>
      <c r="E129" s="9"/>
      <c r="F129" t="s">
        <v>69</v>
      </c>
      <c r="G129" s="154">
        <v>38736573</v>
      </c>
    </row>
    <row r="130" spans="1:8" outlineLevel="1" x14ac:dyDescent="0.25">
      <c r="A130" s="54" t="s">
        <v>227</v>
      </c>
      <c r="B130" s="54">
        <v>2011</v>
      </c>
      <c r="C130" s="6" t="s">
        <v>248</v>
      </c>
      <c r="D130" s="6" t="s">
        <v>19</v>
      </c>
      <c r="E130" s="9"/>
      <c r="F130" s="6" t="s">
        <v>69</v>
      </c>
      <c r="G130" s="159">
        <v>10573813</v>
      </c>
    </row>
    <row r="131" spans="1:8" x14ac:dyDescent="0.25">
      <c r="A131" s="82" t="s">
        <v>338</v>
      </c>
      <c r="B131" s="82">
        <v>2011</v>
      </c>
      <c r="C131" s="74"/>
      <c r="D131" s="74"/>
      <c r="E131" s="73">
        <f>(1-(COUNTIF(D128:D130, "*Competitive Bid*"))/(COUNTA(D128:D130)))</f>
        <v>0.66666666666666674</v>
      </c>
      <c r="F131" s="74"/>
      <c r="G131" s="160">
        <f>SUM(G128:G130)</f>
        <v>76697286</v>
      </c>
      <c r="H131" s="77">
        <f>((SUM(G128:G129))/G131)</f>
        <v>0.86213576057958552</v>
      </c>
    </row>
    <row r="132" spans="1:8" outlineLevel="1" x14ac:dyDescent="0.25">
      <c r="A132" s="52" t="s">
        <v>249</v>
      </c>
      <c r="B132" s="52">
        <v>2011</v>
      </c>
      <c r="C132" t="s">
        <v>262</v>
      </c>
      <c r="D132" t="s">
        <v>33</v>
      </c>
      <c r="E132" s="9"/>
      <c r="F132" t="s">
        <v>49</v>
      </c>
      <c r="G132" s="154">
        <v>12684274</v>
      </c>
    </row>
    <row r="133" spans="1:8" outlineLevel="1" x14ac:dyDescent="0.25">
      <c r="A133" s="52" t="s">
        <v>249</v>
      </c>
      <c r="B133" s="52">
        <v>2011</v>
      </c>
      <c r="C133" t="s">
        <v>264</v>
      </c>
      <c r="D133" t="s">
        <v>33</v>
      </c>
      <c r="E133" s="9"/>
      <c r="F133" t="s">
        <v>11</v>
      </c>
      <c r="G133" s="154">
        <v>33205861</v>
      </c>
    </row>
    <row r="134" spans="1:8" x14ac:dyDescent="0.25">
      <c r="A134" s="80" t="s">
        <v>339</v>
      </c>
      <c r="B134" s="80">
        <v>2011</v>
      </c>
      <c r="C134" s="50"/>
      <c r="D134" s="50"/>
      <c r="E134" s="73">
        <f>(1-(COUNTIF(D132:D133, "*Competitive Bid*"))/(COUNTA(D132:D133)))</f>
        <v>1</v>
      </c>
      <c r="F134" s="50"/>
      <c r="G134" s="158">
        <f>SUM(G132:G133)</f>
        <v>45890135</v>
      </c>
      <c r="H134" s="77">
        <f>((SUM(G132:G133))/G134)</f>
        <v>1</v>
      </c>
    </row>
    <row r="135" spans="1:8" outlineLevel="1" x14ac:dyDescent="0.25">
      <c r="A135" s="52" t="s">
        <v>277</v>
      </c>
      <c r="B135" s="52">
        <v>2011</v>
      </c>
      <c r="C135" t="s">
        <v>280</v>
      </c>
      <c r="D135" t="s">
        <v>8</v>
      </c>
      <c r="E135" s="9"/>
      <c r="F135" t="s">
        <v>11</v>
      </c>
      <c r="G135" s="154">
        <v>53526409</v>
      </c>
    </row>
    <row r="136" spans="1:8" outlineLevel="1" x14ac:dyDescent="0.25">
      <c r="A136" s="52" t="s">
        <v>277</v>
      </c>
      <c r="B136" s="52">
        <v>2011</v>
      </c>
      <c r="C136" t="s">
        <v>281</v>
      </c>
      <c r="D136" t="s">
        <v>8</v>
      </c>
      <c r="E136" s="9"/>
      <c r="F136" t="s">
        <v>282</v>
      </c>
      <c r="G136" s="154">
        <v>11469095</v>
      </c>
    </row>
    <row r="137" spans="1:8" outlineLevel="1" x14ac:dyDescent="0.25">
      <c r="A137" s="52" t="s">
        <v>277</v>
      </c>
      <c r="B137" s="52">
        <v>2011</v>
      </c>
      <c r="C137" t="s">
        <v>283</v>
      </c>
      <c r="D137" t="s">
        <v>8</v>
      </c>
      <c r="E137" s="9"/>
      <c r="F137" t="s">
        <v>282</v>
      </c>
      <c r="G137" s="154">
        <v>7475220</v>
      </c>
    </row>
    <row r="138" spans="1:8" ht="15.75" thickBot="1" x14ac:dyDescent="0.3">
      <c r="A138" s="81" t="s">
        <v>341</v>
      </c>
      <c r="B138" s="81">
        <v>2011</v>
      </c>
      <c r="C138" s="72"/>
      <c r="D138" s="72"/>
      <c r="E138" s="78">
        <f>(1-(COUNTIF(D135:D137, "*Competitive Bid*"))/(COUNTA(D135:D137)))</f>
        <v>1</v>
      </c>
      <c r="F138" s="72"/>
      <c r="G138" s="155">
        <f>SUM(G135:G137)</f>
        <v>72470724</v>
      </c>
      <c r="H138" s="78">
        <f>((SUM(G135:G137))/G138)</f>
        <v>1</v>
      </c>
    </row>
    <row r="139" spans="1:8" outlineLevel="1" x14ac:dyDescent="0.25">
      <c r="A139" s="52" t="s">
        <v>6</v>
      </c>
      <c r="B139" s="52">
        <v>2012</v>
      </c>
      <c r="C139" t="s">
        <v>14</v>
      </c>
      <c r="D139" t="s">
        <v>8</v>
      </c>
      <c r="E139" s="9"/>
      <c r="F139" t="s">
        <v>9</v>
      </c>
      <c r="G139" s="154">
        <v>33100000</v>
      </c>
    </row>
    <row r="140" spans="1:8" outlineLevel="1" x14ac:dyDescent="0.25">
      <c r="A140" s="52" t="s">
        <v>6</v>
      </c>
      <c r="B140" s="52">
        <v>2012</v>
      </c>
      <c r="C140" t="s">
        <v>15</v>
      </c>
      <c r="D140" t="s">
        <v>8</v>
      </c>
      <c r="E140" s="9"/>
      <c r="F140" t="s">
        <v>9</v>
      </c>
      <c r="G140" s="154">
        <v>6400000</v>
      </c>
    </row>
    <row r="141" spans="1:8" x14ac:dyDescent="0.25">
      <c r="A141" s="80" t="s">
        <v>322</v>
      </c>
      <c r="B141" s="80">
        <v>2012</v>
      </c>
      <c r="C141" s="50"/>
      <c r="D141" s="50"/>
      <c r="E141" s="73">
        <f>(1-(COUNTIF(D139:D140, "*Competitive Bid*"))/(COUNTA(D139:D140)))</f>
        <v>1</v>
      </c>
      <c r="F141" s="50"/>
      <c r="G141" s="158">
        <f>SUM(G139:G140)</f>
        <v>39500000</v>
      </c>
      <c r="H141" s="77">
        <f>((SUM(G139:G140))/G141)</f>
        <v>1</v>
      </c>
    </row>
    <row r="142" spans="1:8" outlineLevel="1" x14ac:dyDescent="0.25">
      <c r="A142" s="52" t="s">
        <v>23</v>
      </c>
      <c r="B142" s="52">
        <v>2012</v>
      </c>
      <c r="C142" t="s">
        <v>24</v>
      </c>
      <c r="D142" t="s">
        <v>8</v>
      </c>
      <c r="E142" s="9"/>
      <c r="F142" t="s">
        <v>49</v>
      </c>
      <c r="G142" s="154">
        <v>40567069</v>
      </c>
    </row>
    <row r="143" spans="1:8" outlineLevel="1" x14ac:dyDescent="0.25">
      <c r="A143" s="52" t="s">
        <v>23</v>
      </c>
      <c r="B143" s="52">
        <v>2012</v>
      </c>
      <c r="C143" t="s">
        <v>28</v>
      </c>
      <c r="D143" t="s">
        <v>19</v>
      </c>
      <c r="E143" s="9"/>
      <c r="F143" t="s">
        <v>29</v>
      </c>
      <c r="G143" s="154">
        <v>5825000</v>
      </c>
    </row>
    <row r="144" spans="1:8" outlineLevel="1" x14ac:dyDescent="0.25">
      <c r="A144" s="52" t="s">
        <v>23</v>
      </c>
      <c r="B144" s="52">
        <v>2012</v>
      </c>
      <c r="C144" t="s">
        <v>38</v>
      </c>
      <c r="D144" t="s">
        <v>33</v>
      </c>
      <c r="E144" s="9"/>
      <c r="F144" t="s">
        <v>39</v>
      </c>
      <c r="G144" s="154">
        <v>12080000</v>
      </c>
    </row>
    <row r="145" spans="1:8" x14ac:dyDescent="0.25">
      <c r="A145" s="80" t="s">
        <v>323</v>
      </c>
      <c r="B145" s="80">
        <v>2012</v>
      </c>
      <c r="C145" s="50"/>
      <c r="D145" s="50"/>
      <c r="E145" s="73">
        <f>(1-(COUNTIF(D142:D144, "*Competitive Bid*"))/(COUNTA(D142:D144)))</f>
        <v>0.66666666666666674</v>
      </c>
      <c r="F145" s="50"/>
      <c r="G145" s="158">
        <f>SUM(G142:G144)</f>
        <v>58472069</v>
      </c>
      <c r="H145" s="77">
        <f>(G142+G144)/G145</f>
        <v>0.90037978645838579</v>
      </c>
    </row>
    <row r="146" spans="1:8" outlineLevel="1" x14ac:dyDescent="0.25">
      <c r="A146" s="52" t="s">
        <v>47</v>
      </c>
      <c r="B146" s="52">
        <v>2012</v>
      </c>
      <c r="C146" t="s">
        <v>54</v>
      </c>
      <c r="D146" t="s">
        <v>8</v>
      </c>
      <c r="E146" s="9"/>
      <c r="F146" t="s">
        <v>9</v>
      </c>
      <c r="G146" s="154">
        <v>43577799</v>
      </c>
    </row>
    <row r="147" spans="1:8" outlineLevel="1" x14ac:dyDescent="0.25">
      <c r="A147" s="52" t="s">
        <v>47</v>
      </c>
      <c r="B147" s="52">
        <v>2012</v>
      </c>
      <c r="C147" t="s">
        <v>55</v>
      </c>
      <c r="D147" t="s">
        <v>8</v>
      </c>
      <c r="E147" s="9"/>
      <c r="F147" t="s">
        <v>52</v>
      </c>
      <c r="G147" s="154">
        <v>32646335</v>
      </c>
    </row>
    <row r="148" spans="1:8" outlineLevel="1" x14ac:dyDescent="0.25">
      <c r="A148" s="52" t="s">
        <v>47</v>
      </c>
      <c r="B148" s="52">
        <v>2012</v>
      </c>
      <c r="C148" t="s">
        <v>68</v>
      </c>
      <c r="D148" t="s">
        <v>8</v>
      </c>
      <c r="E148" s="9"/>
      <c r="F148" t="s">
        <v>9</v>
      </c>
      <c r="G148" s="154">
        <v>7936662</v>
      </c>
    </row>
    <row r="149" spans="1:8" x14ac:dyDescent="0.25">
      <c r="A149" s="80" t="s">
        <v>326</v>
      </c>
      <c r="B149" s="80">
        <v>2012</v>
      </c>
      <c r="C149" s="50"/>
      <c r="D149" s="50"/>
      <c r="E149" s="73">
        <f>(1-(COUNTIF(D146:D148, "*Competitive Bid*"))/(COUNTA(D146:D148)))</f>
        <v>1</v>
      </c>
      <c r="F149" s="50"/>
      <c r="G149" s="158">
        <f>SUM(G146:G148)</f>
        <v>84160796</v>
      </c>
      <c r="H149" s="77">
        <f>((SUM(G146:G148))/G149)</f>
        <v>1</v>
      </c>
    </row>
    <row r="150" spans="1:8" outlineLevel="1" x14ac:dyDescent="0.25">
      <c r="A150" s="52" t="s">
        <v>94</v>
      </c>
      <c r="B150" s="52">
        <v>2012</v>
      </c>
      <c r="C150" t="s">
        <v>100</v>
      </c>
      <c r="D150" t="s">
        <v>8</v>
      </c>
      <c r="E150" s="9"/>
      <c r="F150" t="s">
        <v>52</v>
      </c>
      <c r="G150" s="154">
        <v>17000000</v>
      </c>
    </row>
    <row r="151" spans="1:8" outlineLevel="1" x14ac:dyDescent="0.25">
      <c r="A151" s="52" t="s">
        <v>94</v>
      </c>
      <c r="B151" s="52">
        <v>2012</v>
      </c>
      <c r="C151" t="s">
        <v>101</v>
      </c>
      <c r="D151" t="s">
        <v>19</v>
      </c>
      <c r="E151" s="9"/>
      <c r="F151" t="s">
        <v>9</v>
      </c>
      <c r="G151" s="154">
        <v>9000000</v>
      </c>
    </row>
    <row r="152" spans="1:8" x14ac:dyDescent="0.25">
      <c r="A152" s="80" t="s">
        <v>331</v>
      </c>
      <c r="B152" s="80">
        <v>2012</v>
      </c>
      <c r="C152" s="50"/>
      <c r="D152" s="50"/>
      <c r="E152" s="73">
        <f>(1-(COUNTIF(D150:D151, "*Competitive Bid*"))/(COUNTA(D150:D151)))</f>
        <v>0.5</v>
      </c>
      <c r="F152" s="50"/>
      <c r="G152" s="158">
        <f>SUM(G150:G151)</f>
        <v>26000000</v>
      </c>
      <c r="H152" s="77">
        <f>((SUM(G150))/G152)</f>
        <v>0.65384615384615385</v>
      </c>
    </row>
    <row r="153" spans="1:8" outlineLevel="1" x14ac:dyDescent="0.25">
      <c r="A153" s="52" t="s">
        <v>104</v>
      </c>
      <c r="B153" s="52">
        <v>2012</v>
      </c>
      <c r="C153" t="s">
        <v>106</v>
      </c>
      <c r="D153" t="s">
        <v>8</v>
      </c>
      <c r="E153" s="9"/>
      <c r="F153" t="s">
        <v>9</v>
      </c>
      <c r="G153" s="154">
        <v>40632041</v>
      </c>
    </row>
    <row r="154" spans="1:8" outlineLevel="1" x14ac:dyDescent="0.25">
      <c r="A154" s="52" t="s">
        <v>104</v>
      </c>
      <c r="B154" s="52">
        <v>2012</v>
      </c>
      <c r="C154" t="s">
        <v>111</v>
      </c>
      <c r="D154" t="s">
        <v>19</v>
      </c>
      <c r="E154" s="9"/>
      <c r="F154" t="s">
        <v>112</v>
      </c>
      <c r="G154" s="154">
        <v>7800000</v>
      </c>
    </row>
    <row r="155" spans="1:8" x14ac:dyDescent="0.25">
      <c r="A155" s="80" t="s">
        <v>332</v>
      </c>
      <c r="B155" s="80">
        <v>2012</v>
      </c>
      <c r="C155" s="50"/>
      <c r="D155" s="50"/>
      <c r="E155" s="73">
        <f>(1-(COUNTIF(D153:D154, "*Competitive Bid*"))/(COUNTA(D153:D154)))</f>
        <v>0.5</v>
      </c>
      <c r="F155" s="50"/>
      <c r="G155" s="158">
        <f>SUM(G153:G154)</f>
        <v>48432041</v>
      </c>
      <c r="H155" s="77">
        <f>((SUM(G153))/G155)</f>
        <v>0.83894959124270641</v>
      </c>
    </row>
    <row r="156" spans="1:8" outlineLevel="1" x14ac:dyDescent="0.25">
      <c r="A156" s="52" t="s">
        <v>119</v>
      </c>
      <c r="B156" s="52">
        <v>2012</v>
      </c>
      <c r="C156" t="s">
        <v>124</v>
      </c>
      <c r="D156" t="s">
        <v>19</v>
      </c>
      <c r="E156" s="9"/>
      <c r="F156" t="s">
        <v>125</v>
      </c>
      <c r="G156" s="154">
        <v>6985000</v>
      </c>
    </row>
    <row r="157" spans="1:8" x14ac:dyDescent="0.25">
      <c r="A157" s="80" t="s">
        <v>333</v>
      </c>
      <c r="B157" s="80">
        <v>2012</v>
      </c>
      <c r="C157" s="50"/>
      <c r="D157" s="50"/>
      <c r="E157" s="73">
        <f>(1-(COUNTIF(D156, "*Competitive Bid*"))/(COUNTA(D156)))</f>
        <v>0</v>
      </c>
      <c r="F157" s="50"/>
      <c r="G157" s="158">
        <f>SUM(G156)</f>
        <v>6985000</v>
      </c>
      <c r="H157" s="77">
        <f>((SUM(0))/G157)</f>
        <v>0</v>
      </c>
    </row>
    <row r="158" spans="1:8" outlineLevel="1" x14ac:dyDescent="0.25">
      <c r="A158" s="52" t="s">
        <v>129</v>
      </c>
      <c r="B158" s="52">
        <v>2012</v>
      </c>
      <c r="C158" t="s">
        <v>145</v>
      </c>
      <c r="D158" t="s">
        <v>8</v>
      </c>
      <c r="E158" s="9"/>
      <c r="F158" t="s">
        <v>146</v>
      </c>
      <c r="G158" s="154">
        <v>9134220</v>
      </c>
    </row>
    <row r="159" spans="1:8" outlineLevel="1" x14ac:dyDescent="0.25">
      <c r="A159" s="52" t="s">
        <v>129</v>
      </c>
      <c r="B159" s="52">
        <v>2012</v>
      </c>
      <c r="C159" t="s">
        <v>147</v>
      </c>
      <c r="D159" t="s">
        <v>8</v>
      </c>
      <c r="E159" s="9"/>
      <c r="F159" t="s">
        <v>146</v>
      </c>
      <c r="G159" s="154">
        <v>11307704</v>
      </c>
    </row>
    <row r="160" spans="1:8" outlineLevel="1" x14ac:dyDescent="0.25">
      <c r="A160" s="52" t="s">
        <v>129</v>
      </c>
      <c r="B160" s="52">
        <v>2012</v>
      </c>
      <c r="C160" t="s">
        <v>155</v>
      </c>
      <c r="D160" t="s">
        <v>8</v>
      </c>
      <c r="E160" s="9"/>
      <c r="F160" t="s">
        <v>143</v>
      </c>
      <c r="G160" s="154">
        <v>5238422</v>
      </c>
    </row>
    <row r="161" spans="1:8" outlineLevel="1" x14ac:dyDescent="0.25">
      <c r="A161" s="52" t="s">
        <v>129</v>
      </c>
      <c r="B161" s="52">
        <v>2012</v>
      </c>
      <c r="C161" t="s">
        <v>156</v>
      </c>
      <c r="D161" t="s">
        <v>8</v>
      </c>
      <c r="E161" s="9"/>
      <c r="F161" t="s">
        <v>49</v>
      </c>
      <c r="G161" s="154">
        <v>8457224</v>
      </c>
    </row>
    <row r="162" spans="1:8" outlineLevel="1" x14ac:dyDescent="0.25">
      <c r="A162" s="52" t="s">
        <v>129</v>
      </c>
      <c r="B162" s="52">
        <v>2012</v>
      </c>
      <c r="C162" t="s">
        <v>157</v>
      </c>
      <c r="D162" t="s">
        <v>8</v>
      </c>
      <c r="E162" s="9"/>
      <c r="F162" t="s">
        <v>49</v>
      </c>
      <c r="G162" s="154">
        <v>11826727</v>
      </c>
    </row>
    <row r="163" spans="1:8" x14ac:dyDescent="0.25">
      <c r="A163" s="80" t="s">
        <v>334</v>
      </c>
      <c r="B163" s="80">
        <v>2012</v>
      </c>
      <c r="C163" s="50"/>
      <c r="D163" s="50"/>
      <c r="E163" s="73">
        <f>(1-(COUNTIF(D158:D162, "*Competitive Bid*"))/(COUNTA(D158:D162)))</f>
        <v>1</v>
      </c>
      <c r="F163" s="50"/>
      <c r="G163" s="158">
        <f>SUM(G158:G162)</f>
        <v>45964297</v>
      </c>
      <c r="H163" s="77">
        <f>((SUM(G158:G162))/G163)</f>
        <v>1</v>
      </c>
    </row>
    <row r="164" spans="1:8" outlineLevel="1" x14ac:dyDescent="0.25">
      <c r="A164" s="52" t="s">
        <v>191</v>
      </c>
      <c r="B164" s="52">
        <v>2012</v>
      </c>
      <c r="C164" t="s">
        <v>204</v>
      </c>
      <c r="D164" t="s">
        <v>8</v>
      </c>
      <c r="E164" s="9"/>
      <c r="F164" t="s">
        <v>143</v>
      </c>
      <c r="G164" s="154">
        <v>23879669</v>
      </c>
    </row>
    <row r="165" spans="1:8" outlineLevel="1" x14ac:dyDescent="0.25">
      <c r="A165" s="52" t="s">
        <v>191</v>
      </c>
      <c r="B165" s="52">
        <v>2012</v>
      </c>
      <c r="C165" t="s">
        <v>205</v>
      </c>
      <c r="D165" t="s">
        <v>8</v>
      </c>
      <c r="E165" s="9"/>
      <c r="F165" t="s">
        <v>11</v>
      </c>
      <c r="G165" s="154">
        <v>15382088</v>
      </c>
    </row>
    <row r="166" spans="1:8" outlineLevel="1" x14ac:dyDescent="0.25">
      <c r="A166" s="52" t="s">
        <v>191</v>
      </c>
      <c r="B166" s="52">
        <v>2012</v>
      </c>
      <c r="C166" t="s">
        <v>213</v>
      </c>
      <c r="D166" t="s">
        <v>214</v>
      </c>
      <c r="E166" s="9"/>
      <c r="F166" t="s">
        <v>215</v>
      </c>
      <c r="G166" s="154">
        <v>16508000</v>
      </c>
    </row>
    <row r="167" spans="1:8" x14ac:dyDescent="0.25">
      <c r="A167" s="80" t="s">
        <v>336</v>
      </c>
      <c r="B167" s="80">
        <v>2012</v>
      </c>
      <c r="C167" s="50"/>
      <c r="D167" s="50"/>
      <c r="E167" s="73">
        <f>(1-(COUNTIF(D164:D166, "*Competitive Bid*"))/(COUNTA(D164:D166)))</f>
        <v>1</v>
      </c>
      <c r="F167" s="50"/>
      <c r="G167" s="158">
        <f>SUM(G164:G166)</f>
        <v>55769757</v>
      </c>
      <c r="H167" s="77">
        <f>((SUM(G164:G166))/G167)</f>
        <v>1</v>
      </c>
    </row>
    <row r="168" spans="1:8" outlineLevel="1" x14ac:dyDescent="0.25">
      <c r="A168" s="52" t="s">
        <v>249</v>
      </c>
      <c r="B168" s="52">
        <v>2012</v>
      </c>
      <c r="C168" t="s">
        <v>255</v>
      </c>
      <c r="D168" t="s">
        <v>8</v>
      </c>
      <c r="E168" s="9"/>
      <c r="F168" t="s">
        <v>229</v>
      </c>
      <c r="G168" s="154">
        <v>29794180</v>
      </c>
    </row>
    <row r="169" spans="1:8" x14ac:dyDescent="0.25">
      <c r="A169" s="80" t="s">
        <v>339</v>
      </c>
      <c r="B169" s="80">
        <v>2012</v>
      </c>
      <c r="C169" s="50"/>
      <c r="D169" s="50"/>
      <c r="E169" s="73">
        <f>(1-(COUNTIF(D168, "*Competitive Bid*"))/(COUNTA(D168)))</f>
        <v>1</v>
      </c>
      <c r="F169" s="50"/>
      <c r="G169" s="158">
        <f>SUM(G168)</f>
        <v>29794180</v>
      </c>
      <c r="H169" s="77">
        <f>((SUM(G168))/G169)</f>
        <v>1</v>
      </c>
    </row>
    <row r="170" spans="1:8" outlineLevel="1" x14ac:dyDescent="0.25">
      <c r="A170" s="52" t="s">
        <v>269</v>
      </c>
      <c r="B170" s="52">
        <v>2012</v>
      </c>
      <c r="C170" t="s">
        <v>272</v>
      </c>
      <c r="D170" t="s">
        <v>8</v>
      </c>
      <c r="E170" s="9"/>
      <c r="F170" t="s">
        <v>11</v>
      </c>
      <c r="G170" s="154">
        <v>66737161</v>
      </c>
    </row>
    <row r="171" spans="1:8" x14ac:dyDescent="0.25">
      <c r="A171" s="80" t="s">
        <v>340</v>
      </c>
      <c r="B171" s="80">
        <v>2012</v>
      </c>
      <c r="C171" s="50"/>
      <c r="D171" s="50"/>
      <c r="E171" s="73">
        <f>(1-(COUNTIF(D170, "*Competitive Bid*"))/(COUNTA(D170)))</f>
        <v>1</v>
      </c>
      <c r="F171" s="50"/>
      <c r="G171" s="158">
        <f>SUM(G170)</f>
        <v>66737161</v>
      </c>
      <c r="H171" s="77">
        <f>((SUM(G170))/G171)</f>
        <v>1</v>
      </c>
    </row>
    <row r="172" spans="1:8" outlineLevel="1" x14ac:dyDescent="0.25">
      <c r="A172" s="52" t="s">
        <v>277</v>
      </c>
      <c r="B172" s="52">
        <v>2012</v>
      </c>
      <c r="C172" t="s">
        <v>284</v>
      </c>
      <c r="D172" t="s">
        <v>8</v>
      </c>
      <c r="E172" s="9"/>
      <c r="F172" t="s">
        <v>9</v>
      </c>
      <c r="G172" s="154">
        <v>20014505</v>
      </c>
    </row>
    <row r="173" spans="1:8" outlineLevel="1" x14ac:dyDescent="0.25">
      <c r="A173" s="52" t="s">
        <v>277</v>
      </c>
      <c r="B173" s="52">
        <v>2012</v>
      </c>
      <c r="C173" t="s">
        <v>285</v>
      </c>
      <c r="D173" t="s">
        <v>8</v>
      </c>
      <c r="E173" s="9"/>
      <c r="F173" t="s">
        <v>11</v>
      </c>
      <c r="G173" s="154">
        <v>7334710</v>
      </c>
    </row>
    <row r="174" spans="1:8" outlineLevel="1" x14ac:dyDescent="0.25">
      <c r="A174" s="52" t="s">
        <v>277</v>
      </c>
      <c r="B174" s="52">
        <v>2012</v>
      </c>
      <c r="C174" t="s">
        <v>286</v>
      </c>
      <c r="D174" t="s">
        <v>8</v>
      </c>
      <c r="E174" s="9"/>
      <c r="F174" t="s">
        <v>9</v>
      </c>
      <c r="G174" s="154">
        <v>11770972</v>
      </c>
    </row>
    <row r="175" spans="1:8" outlineLevel="1" x14ac:dyDescent="0.25">
      <c r="A175" s="52" t="s">
        <v>277</v>
      </c>
      <c r="B175" s="52">
        <v>2012</v>
      </c>
      <c r="C175" t="s">
        <v>287</v>
      </c>
      <c r="D175" t="s">
        <v>8</v>
      </c>
      <c r="E175" s="9"/>
      <c r="F175" t="s">
        <v>9</v>
      </c>
      <c r="G175" s="154">
        <v>7577000</v>
      </c>
    </row>
    <row r="176" spans="1:8" ht="15.75" thickBot="1" x14ac:dyDescent="0.3">
      <c r="A176" s="81" t="s">
        <v>341</v>
      </c>
      <c r="B176" s="81">
        <v>2012</v>
      </c>
      <c r="C176" s="72"/>
      <c r="D176" s="72"/>
      <c r="E176" s="78">
        <f>(1-(COUNTIF(D172:D175, "*Competitive Bid*"))/(COUNTA(D172:D175)))</f>
        <v>1</v>
      </c>
      <c r="F176" s="72"/>
      <c r="G176" s="155">
        <f>SUM(G172:G175)</f>
        <v>46697187</v>
      </c>
      <c r="H176" s="78">
        <f>((SUM(G172:G175))/G176)</f>
        <v>1</v>
      </c>
    </row>
    <row r="177" spans="1:8" outlineLevel="1" x14ac:dyDescent="0.25">
      <c r="A177" s="52" t="s">
        <v>23</v>
      </c>
      <c r="B177" s="52">
        <v>2013</v>
      </c>
      <c r="C177" t="s">
        <v>40</v>
      </c>
      <c r="D177" t="s">
        <v>33</v>
      </c>
      <c r="E177" s="9"/>
      <c r="F177" t="s">
        <v>31</v>
      </c>
      <c r="G177" s="154">
        <v>15878554</v>
      </c>
    </row>
    <row r="178" spans="1:8" outlineLevel="1" x14ac:dyDescent="0.25">
      <c r="A178" s="52" t="s">
        <v>23</v>
      </c>
      <c r="B178" s="52">
        <v>2013</v>
      </c>
      <c r="C178" t="s">
        <v>41</v>
      </c>
      <c r="D178" t="s">
        <v>33</v>
      </c>
      <c r="E178" s="9"/>
      <c r="F178" t="s">
        <v>42</v>
      </c>
      <c r="G178" s="154">
        <v>15056821</v>
      </c>
    </row>
    <row r="179" spans="1:8" x14ac:dyDescent="0.25">
      <c r="A179" s="80" t="s">
        <v>323</v>
      </c>
      <c r="B179" s="80">
        <v>2013</v>
      </c>
      <c r="C179" s="50"/>
      <c r="D179" s="50"/>
      <c r="E179" s="73">
        <f>(1-(COUNTIF(D177:D178, "*Competitive Bid*"))/(COUNTA(D177:D178)))</f>
        <v>1</v>
      </c>
      <c r="F179" s="50"/>
      <c r="G179" s="158">
        <f>SUM(G177:G178)</f>
        <v>30935375</v>
      </c>
      <c r="H179" s="77">
        <f>((SUM(G177:G178))/G179)</f>
        <v>1</v>
      </c>
    </row>
    <row r="180" spans="1:8" outlineLevel="1" x14ac:dyDescent="0.25">
      <c r="A180" s="52" t="s">
        <v>47</v>
      </c>
      <c r="B180" s="52">
        <v>2013</v>
      </c>
      <c r="C180" t="s">
        <v>56</v>
      </c>
      <c r="D180" t="s">
        <v>8</v>
      </c>
      <c r="E180" s="9"/>
      <c r="F180" t="s">
        <v>49</v>
      </c>
      <c r="G180" s="154">
        <v>38996387</v>
      </c>
    </row>
    <row r="181" spans="1:8" x14ac:dyDescent="0.25">
      <c r="A181" s="80" t="s">
        <v>326</v>
      </c>
      <c r="B181" s="80">
        <v>2013</v>
      </c>
      <c r="C181" s="50"/>
      <c r="D181" s="50"/>
      <c r="E181" s="73">
        <f>(1-(COUNTIF(D180, "*Competitive Bid*"))/(COUNTA(D180)))</f>
        <v>1</v>
      </c>
      <c r="F181" s="50"/>
      <c r="G181" s="158">
        <f>SUM(G180)</f>
        <v>38996387</v>
      </c>
      <c r="H181" s="77">
        <f>((SUM(G180))/G181)</f>
        <v>1</v>
      </c>
    </row>
    <row r="182" spans="1:8" s="19" customFormat="1" outlineLevel="1" x14ac:dyDescent="0.25">
      <c r="A182" s="87" t="s">
        <v>73</v>
      </c>
      <c r="B182" s="87">
        <v>2013</v>
      </c>
      <c r="C182" s="21" t="s">
        <v>86</v>
      </c>
      <c r="D182" s="21" t="s">
        <v>8</v>
      </c>
      <c r="E182" s="9"/>
      <c r="F182" s="21" t="s">
        <v>52</v>
      </c>
      <c r="G182" s="161">
        <v>28635950</v>
      </c>
      <c r="H182" s="114"/>
    </row>
    <row r="183" spans="1:8" s="19" customFormat="1" outlineLevel="1" x14ac:dyDescent="0.25">
      <c r="A183" s="52" t="s">
        <v>73</v>
      </c>
      <c r="B183" s="52">
        <v>2013</v>
      </c>
      <c r="C183" t="s">
        <v>78</v>
      </c>
      <c r="D183" t="s">
        <v>19</v>
      </c>
      <c r="E183" s="9"/>
      <c r="F183" t="s">
        <v>79</v>
      </c>
      <c r="G183" s="154">
        <v>6905660</v>
      </c>
      <c r="H183" s="114"/>
    </row>
    <row r="184" spans="1:8" s="19" customFormat="1" outlineLevel="1" x14ac:dyDescent="0.25">
      <c r="A184" s="52" t="s">
        <v>73</v>
      </c>
      <c r="B184" s="52">
        <v>2013</v>
      </c>
      <c r="C184" t="s">
        <v>80</v>
      </c>
      <c r="D184" t="s">
        <v>19</v>
      </c>
      <c r="E184" s="9"/>
      <c r="F184" t="s">
        <v>81</v>
      </c>
      <c r="G184" s="154">
        <v>12325000</v>
      </c>
      <c r="H184" s="114"/>
    </row>
    <row r="185" spans="1:8" s="19" customFormat="1" outlineLevel="1" x14ac:dyDescent="0.25">
      <c r="A185" s="52" t="s">
        <v>73</v>
      </c>
      <c r="B185" s="52">
        <v>2013</v>
      </c>
      <c r="C185" t="s">
        <v>82</v>
      </c>
      <c r="D185" t="s">
        <v>19</v>
      </c>
      <c r="E185" s="9"/>
      <c r="F185" t="s">
        <v>83</v>
      </c>
      <c r="G185" s="154">
        <v>7933000</v>
      </c>
      <c r="H185" s="114"/>
    </row>
    <row r="186" spans="1:8" x14ac:dyDescent="0.25">
      <c r="A186" s="80" t="s">
        <v>327</v>
      </c>
      <c r="B186" s="80">
        <v>2013</v>
      </c>
      <c r="C186" s="50"/>
      <c r="D186" s="50"/>
      <c r="E186" s="73">
        <f>(1-(COUNTIF(D182:D185, "*Competitive Bid*"))/(COUNTA(D182:D185)))</f>
        <v>0.25</v>
      </c>
      <c r="F186" s="50"/>
      <c r="G186" s="158">
        <f>SUM(G182:G185)</f>
        <v>55799610</v>
      </c>
      <c r="H186" s="77">
        <f>(SUM(G182))/G186</f>
        <v>0.5131926549307424</v>
      </c>
    </row>
    <row r="187" spans="1:8" outlineLevel="1" x14ac:dyDescent="0.25">
      <c r="A187" s="54" t="s">
        <v>89</v>
      </c>
      <c r="B187" s="54">
        <v>2013</v>
      </c>
      <c r="C187" s="6" t="s">
        <v>93</v>
      </c>
      <c r="D187" s="6" t="s">
        <v>8</v>
      </c>
      <c r="E187" s="9"/>
      <c r="F187" s="6" t="s">
        <v>69</v>
      </c>
      <c r="G187" s="159">
        <v>37374141</v>
      </c>
    </row>
    <row r="188" spans="1:8" x14ac:dyDescent="0.25">
      <c r="A188" s="82" t="s">
        <v>328</v>
      </c>
      <c r="B188" s="82">
        <v>2013</v>
      </c>
      <c r="C188" s="74"/>
      <c r="D188" s="74"/>
      <c r="E188" s="73">
        <f>(1-(COUNTIF(D187, "*Competitive Bid*"))/(COUNTA(D187)))</f>
        <v>1</v>
      </c>
      <c r="F188" s="74"/>
      <c r="G188" s="160">
        <f>SUM(G187)</f>
        <v>37374141</v>
      </c>
      <c r="H188" s="77">
        <f>((SUM(G187))/G188)</f>
        <v>1</v>
      </c>
    </row>
    <row r="189" spans="1:8" outlineLevel="1" x14ac:dyDescent="0.25">
      <c r="A189" s="52" t="s">
        <v>94</v>
      </c>
      <c r="B189" s="52">
        <v>2013</v>
      </c>
      <c r="C189" t="s">
        <v>96</v>
      </c>
      <c r="D189" t="s">
        <v>8</v>
      </c>
      <c r="E189" s="9"/>
      <c r="F189" t="s">
        <v>69</v>
      </c>
      <c r="G189" s="154">
        <v>13000000</v>
      </c>
    </row>
    <row r="190" spans="1:8" x14ac:dyDescent="0.25">
      <c r="A190" s="80" t="s">
        <v>331</v>
      </c>
      <c r="B190" s="80">
        <v>2013</v>
      </c>
      <c r="C190" s="50"/>
      <c r="D190" s="50"/>
      <c r="E190" s="73">
        <f>(1-(COUNTIF(D189, "*Competitive Bid*"))/(COUNTA(D189)))</f>
        <v>1</v>
      </c>
      <c r="F190" s="50"/>
      <c r="G190" s="158">
        <f>SUM(G189)</f>
        <v>13000000</v>
      </c>
      <c r="H190" s="77">
        <f>((SUM(G189))/G190)</f>
        <v>1</v>
      </c>
    </row>
    <row r="191" spans="1:8" outlineLevel="1" x14ac:dyDescent="0.25">
      <c r="A191" s="52" t="s">
        <v>104</v>
      </c>
      <c r="B191" s="52">
        <v>2013</v>
      </c>
      <c r="C191" t="s">
        <v>107</v>
      </c>
      <c r="D191" t="s">
        <v>8</v>
      </c>
      <c r="E191" s="9"/>
      <c r="F191" t="s">
        <v>52</v>
      </c>
      <c r="G191" s="154">
        <v>27750000</v>
      </c>
    </row>
    <row r="192" spans="1:8" x14ac:dyDescent="0.25">
      <c r="A192" s="80" t="s">
        <v>332</v>
      </c>
      <c r="B192" s="80">
        <v>2013</v>
      </c>
      <c r="C192" s="50"/>
      <c r="D192" s="50"/>
      <c r="E192" s="73">
        <f>(1-(COUNTIF(D191, "*Competitive Bid*"))/(COUNTA(D191)))</f>
        <v>1</v>
      </c>
      <c r="F192" s="50"/>
      <c r="G192" s="158">
        <f>SUM(G191)</f>
        <v>27750000</v>
      </c>
      <c r="H192" s="77">
        <f>SUM(G191)/G192</f>
        <v>1</v>
      </c>
    </row>
    <row r="193" spans="1:8" outlineLevel="1" x14ac:dyDescent="0.25">
      <c r="A193" s="52" t="s">
        <v>119</v>
      </c>
      <c r="B193" s="52">
        <v>2013</v>
      </c>
      <c r="C193" t="s">
        <v>122</v>
      </c>
      <c r="D193" t="s">
        <v>121</v>
      </c>
      <c r="E193" s="9"/>
      <c r="F193" t="s">
        <v>9</v>
      </c>
      <c r="G193" s="154">
        <v>26938797</v>
      </c>
    </row>
    <row r="194" spans="1:8" x14ac:dyDescent="0.25">
      <c r="A194" s="80" t="s">
        <v>333</v>
      </c>
      <c r="B194" s="80">
        <v>2013</v>
      </c>
      <c r="C194" s="50"/>
      <c r="D194" s="50"/>
      <c r="E194" s="73">
        <f>(1-(COUNTIF(D193, "*Competitive Bid*"))/(COUNTA(D193)))</f>
        <v>1</v>
      </c>
      <c r="F194" s="50"/>
      <c r="G194" s="158">
        <f>SUM(G193)</f>
        <v>26938797</v>
      </c>
      <c r="H194" s="77">
        <f>SUM(G193)/G194</f>
        <v>1</v>
      </c>
    </row>
    <row r="195" spans="1:8" outlineLevel="1" x14ac:dyDescent="0.25">
      <c r="A195" s="52" t="s">
        <v>129</v>
      </c>
      <c r="B195" s="52">
        <v>2013</v>
      </c>
      <c r="C195" t="s">
        <v>148</v>
      </c>
      <c r="D195" t="s">
        <v>8</v>
      </c>
      <c r="E195" s="9"/>
      <c r="F195" t="s">
        <v>49</v>
      </c>
      <c r="G195" s="154">
        <v>17418193</v>
      </c>
    </row>
    <row r="196" spans="1:8" outlineLevel="1" x14ac:dyDescent="0.25">
      <c r="A196" s="52" t="s">
        <v>129</v>
      </c>
      <c r="B196" s="52">
        <v>2013</v>
      </c>
      <c r="C196" t="s">
        <v>158</v>
      </c>
      <c r="D196" t="s">
        <v>8</v>
      </c>
      <c r="E196" s="9"/>
      <c r="F196" t="s">
        <v>134</v>
      </c>
      <c r="G196" s="154">
        <v>22774649</v>
      </c>
    </row>
    <row r="197" spans="1:8" x14ac:dyDescent="0.25">
      <c r="A197" s="80" t="s">
        <v>334</v>
      </c>
      <c r="B197" s="80">
        <v>2013</v>
      </c>
      <c r="C197" s="50"/>
      <c r="D197" s="50"/>
      <c r="E197" s="73">
        <f>(1-(COUNTIF(D195:D196, "*Competitive Bid*"))/(COUNTA(D195:D196)))</f>
        <v>1</v>
      </c>
      <c r="F197" s="50"/>
      <c r="G197" s="158">
        <f>SUM(G195:G196)</f>
        <v>40192842</v>
      </c>
      <c r="H197" s="77">
        <f>SUM(G195:G196)/G197</f>
        <v>1</v>
      </c>
    </row>
    <row r="198" spans="1:8" s="19" customFormat="1" outlineLevel="1" x14ac:dyDescent="0.25">
      <c r="A198" s="87" t="s">
        <v>189</v>
      </c>
      <c r="B198" s="87">
        <v>2013</v>
      </c>
      <c r="C198" s="21" t="s">
        <v>190</v>
      </c>
      <c r="D198" s="21" t="s">
        <v>8</v>
      </c>
      <c r="E198" s="9"/>
      <c r="F198" s="21" t="s">
        <v>9</v>
      </c>
      <c r="G198" s="161">
        <v>7760889</v>
      </c>
      <c r="H198" s="114"/>
    </row>
    <row r="199" spans="1:8" x14ac:dyDescent="0.25">
      <c r="A199" s="80" t="s">
        <v>335</v>
      </c>
      <c r="B199" s="80">
        <v>2013</v>
      </c>
      <c r="C199" s="50"/>
      <c r="D199" s="50"/>
      <c r="E199" s="73">
        <f>(1-(COUNTIF(D198, "*Competitive Bid*"))/(COUNTA(D198)))</f>
        <v>1</v>
      </c>
      <c r="F199" s="50"/>
      <c r="G199" s="158">
        <f>SUM(G198)</f>
        <v>7760889</v>
      </c>
      <c r="H199" s="77">
        <f>(SUM(G198))/G199</f>
        <v>1</v>
      </c>
    </row>
    <row r="200" spans="1:8" outlineLevel="1" x14ac:dyDescent="0.25">
      <c r="A200" s="52" t="s">
        <v>191</v>
      </c>
      <c r="B200" s="52">
        <v>2013</v>
      </c>
      <c r="C200" t="s">
        <v>216</v>
      </c>
      <c r="D200" t="s">
        <v>217</v>
      </c>
      <c r="E200" s="9"/>
      <c r="F200" t="s">
        <v>218</v>
      </c>
      <c r="G200" s="154">
        <v>14000000</v>
      </c>
    </row>
    <row r="201" spans="1:8" x14ac:dyDescent="0.25">
      <c r="A201" s="80" t="s">
        <v>336</v>
      </c>
      <c r="B201" s="80">
        <v>2013</v>
      </c>
      <c r="C201" s="50"/>
      <c r="D201" s="50"/>
      <c r="E201" s="73">
        <f>(1-(COUNTIF(D200, "*Competitive Bid*"))/(COUNTA(D200)))</f>
        <v>1</v>
      </c>
      <c r="F201" s="50"/>
      <c r="G201" s="158">
        <f>SUM(G200)</f>
        <v>14000000</v>
      </c>
      <c r="H201" s="77">
        <f>SUM(G200)/G201</f>
        <v>1</v>
      </c>
    </row>
    <row r="202" spans="1:8" outlineLevel="1" x14ac:dyDescent="0.25">
      <c r="A202" s="52" t="s">
        <v>227</v>
      </c>
      <c r="B202" s="52">
        <v>2013</v>
      </c>
      <c r="C202" t="s">
        <v>237</v>
      </c>
      <c r="D202" t="s">
        <v>19</v>
      </c>
      <c r="E202" s="9"/>
      <c r="F202" t="s">
        <v>125</v>
      </c>
      <c r="G202" s="154">
        <v>11674470</v>
      </c>
    </row>
    <row r="203" spans="1:8" x14ac:dyDescent="0.25">
      <c r="A203" s="80" t="s">
        <v>338</v>
      </c>
      <c r="B203" s="80">
        <v>2013</v>
      </c>
      <c r="C203" s="50"/>
      <c r="D203" s="50"/>
      <c r="E203" s="73">
        <f>(1-(COUNTIF(D202, "*Competitive Bid*"))/(COUNTA(D202)))</f>
        <v>0</v>
      </c>
      <c r="F203" s="50"/>
      <c r="G203" s="158">
        <f>SUM(G202)</f>
        <v>11674470</v>
      </c>
      <c r="H203" s="77">
        <f>SUM(0)/G203</f>
        <v>0</v>
      </c>
    </row>
    <row r="204" spans="1:8" outlineLevel="1" x14ac:dyDescent="0.25">
      <c r="A204" s="52" t="s">
        <v>249</v>
      </c>
      <c r="B204" s="52">
        <v>2013</v>
      </c>
      <c r="C204" t="s">
        <v>256</v>
      </c>
      <c r="D204" t="s">
        <v>8</v>
      </c>
      <c r="E204" s="9"/>
      <c r="F204" t="s">
        <v>146</v>
      </c>
      <c r="G204" s="154">
        <v>29852815</v>
      </c>
    </row>
    <row r="205" spans="1:8" outlineLevel="1" x14ac:dyDescent="0.25">
      <c r="A205" s="52" t="s">
        <v>249</v>
      </c>
      <c r="B205" s="52">
        <v>2013</v>
      </c>
      <c r="C205" t="s">
        <v>257</v>
      </c>
      <c r="D205" t="s">
        <v>8</v>
      </c>
      <c r="E205" s="9"/>
      <c r="F205" t="s">
        <v>52</v>
      </c>
      <c r="G205" s="154">
        <v>7962123</v>
      </c>
    </row>
    <row r="206" spans="1:8" outlineLevel="1" x14ac:dyDescent="0.25">
      <c r="A206" s="52" t="s">
        <v>249</v>
      </c>
      <c r="B206" s="52">
        <v>2013</v>
      </c>
      <c r="C206" t="s">
        <v>261</v>
      </c>
      <c r="D206" t="s">
        <v>33</v>
      </c>
      <c r="E206" s="9"/>
      <c r="F206" t="s">
        <v>9</v>
      </c>
      <c r="G206" s="154">
        <v>33247088</v>
      </c>
    </row>
    <row r="207" spans="1:8" outlineLevel="1" x14ac:dyDescent="0.25">
      <c r="A207" s="52" t="s">
        <v>249</v>
      </c>
      <c r="B207" s="52">
        <v>2013</v>
      </c>
      <c r="C207" t="s">
        <v>263</v>
      </c>
      <c r="D207" t="s">
        <v>33</v>
      </c>
      <c r="E207" s="9"/>
      <c r="F207" t="s">
        <v>69</v>
      </c>
      <c r="G207" s="154">
        <v>23546845</v>
      </c>
    </row>
    <row r="208" spans="1:8" x14ac:dyDescent="0.25">
      <c r="A208" s="80" t="s">
        <v>339</v>
      </c>
      <c r="B208" s="80">
        <v>2013</v>
      </c>
      <c r="C208" s="50"/>
      <c r="D208" s="50"/>
      <c r="E208" s="73">
        <f>(1-(COUNTIF(D204:D207, "*Competitive Bid*"))/(COUNTA(D204:D207)))</f>
        <v>1</v>
      </c>
      <c r="F208" s="50"/>
      <c r="G208" s="158">
        <f>SUM(G204:G207)</f>
        <v>94608871</v>
      </c>
      <c r="H208" s="77">
        <f>SUM(G204:G207)/G208</f>
        <v>1</v>
      </c>
    </row>
    <row r="209" spans="1:8" outlineLevel="1" x14ac:dyDescent="0.25">
      <c r="A209" s="52" t="s">
        <v>277</v>
      </c>
      <c r="B209" s="52">
        <v>2013</v>
      </c>
      <c r="C209" t="s">
        <v>288</v>
      </c>
      <c r="D209" t="s">
        <v>8</v>
      </c>
      <c r="E209" s="9"/>
      <c r="F209" t="s">
        <v>146</v>
      </c>
      <c r="G209" s="154">
        <v>5260000</v>
      </c>
    </row>
    <row r="210" spans="1:8" ht="15.75" thickBot="1" x14ac:dyDescent="0.3">
      <c r="A210" s="81" t="s">
        <v>341</v>
      </c>
      <c r="B210" s="81">
        <v>2013</v>
      </c>
      <c r="C210" s="72"/>
      <c r="D210" s="72"/>
      <c r="E210" s="78">
        <f>(1-(COUNTIF(D209, "*Competitive Bid*"))/(COUNTA(D209)))</f>
        <v>1</v>
      </c>
      <c r="F210" s="72"/>
      <c r="G210" s="155">
        <f>SUM(G209)</f>
        <v>5260000</v>
      </c>
      <c r="H210" s="78">
        <f>SUM(G209)/G210</f>
        <v>1</v>
      </c>
    </row>
    <row r="211" spans="1:8" outlineLevel="1" x14ac:dyDescent="0.25">
      <c r="A211" s="52" t="s">
        <v>6</v>
      </c>
      <c r="B211" s="52">
        <v>2014</v>
      </c>
      <c r="C211" t="s">
        <v>16</v>
      </c>
      <c r="D211" t="s">
        <v>8</v>
      </c>
      <c r="E211" s="9"/>
      <c r="F211" t="s">
        <v>11</v>
      </c>
      <c r="G211" s="154">
        <v>42000000</v>
      </c>
    </row>
    <row r="212" spans="1:8" x14ac:dyDescent="0.25">
      <c r="A212" s="80" t="s">
        <v>322</v>
      </c>
      <c r="B212" s="80">
        <v>2014</v>
      </c>
      <c r="C212" s="50"/>
      <c r="D212" s="50"/>
      <c r="E212" s="73">
        <f>(1-(COUNTIF(D211, "*Competitive Bid*"))/(COUNTA(D211)))</f>
        <v>1</v>
      </c>
      <c r="F212" s="50"/>
      <c r="G212" s="158">
        <f>SUM(G211)</f>
        <v>42000000</v>
      </c>
      <c r="H212" s="77">
        <f>SUM(G211)/G212</f>
        <v>1</v>
      </c>
    </row>
    <row r="213" spans="1:8" outlineLevel="1" x14ac:dyDescent="0.25">
      <c r="A213" s="52" t="s">
        <v>23</v>
      </c>
      <c r="B213" s="52">
        <v>2014</v>
      </c>
      <c r="C213" t="s">
        <v>25</v>
      </c>
      <c r="D213" t="s">
        <v>8</v>
      </c>
      <c r="E213" s="9"/>
      <c r="F213" t="s">
        <v>11</v>
      </c>
      <c r="G213" s="154">
        <v>40509946</v>
      </c>
    </row>
    <row r="214" spans="1:8" outlineLevel="1" x14ac:dyDescent="0.25">
      <c r="A214" s="52" t="s">
        <v>23</v>
      </c>
      <c r="B214" s="52">
        <v>2014</v>
      </c>
      <c r="C214" t="s">
        <v>30</v>
      </c>
      <c r="D214" t="s">
        <v>19</v>
      </c>
      <c r="E214" s="9"/>
      <c r="F214" t="s">
        <v>31</v>
      </c>
      <c r="G214" s="154">
        <v>8603478</v>
      </c>
    </row>
    <row r="215" spans="1:8" x14ac:dyDescent="0.25">
      <c r="A215" s="80" t="s">
        <v>323</v>
      </c>
      <c r="B215" s="80">
        <v>2014</v>
      </c>
      <c r="C215" s="50"/>
      <c r="D215" s="50"/>
      <c r="E215" s="73">
        <f>(1-(COUNTIF(D213:D214, "*Competitive Bid*"))/(COUNTA(D213:D214)))</f>
        <v>0.5</v>
      </c>
      <c r="F215" s="50"/>
      <c r="G215" s="158">
        <f>SUM(G213:G214)</f>
        <v>49113424</v>
      </c>
      <c r="H215" s="77">
        <f>SUM(G213)/G215</f>
        <v>0.82482430872667323</v>
      </c>
    </row>
    <row r="216" spans="1:8" outlineLevel="1" x14ac:dyDescent="0.25">
      <c r="A216" s="52" t="s">
        <v>47</v>
      </c>
      <c r="B216" s="52">
        <v>2014</v>
      </c>
      <c r="C216" t="s">
        <v>57</v>
      </c>
      <c r="D216" t="s">
        <v>8</v>
      </c>
      <c r="E216" s="9"/>
      <c r="F216" t="s">
        <v>58</v>
      </c>
      <c r="G216" s="154">
        <v>42712270</v>
      </c>
    </row>
    <row r="217" spans="1:8" outlineLevel="1" x14ac:dyDescent="0.25">
      <c r="A217" s="52" t="s">
        <v>47</v>
      </c>
      <c r="B217" s="52">
        <v>2014</v>
      </c>
      <c r="C217" t="s">
        <v>59</v>
      </c>
      <c r="D217" t="s">
        <v>8</v>
      </c>
      <c r="E217" s="9"/>
      <c r="F217" t="s">
        <v>52</v>
      </c>
      <c r="G217" s="154">
        <v>48789838</v>
      </c>
    </row>
    <row r="218" spans="1:8" x14ac:dyDescent="0.25">
      <c r="A218" s="80" t="s">
        <v>326</v>
      </c>
      <c r="B218" s="80">
        <v>2014</v>
      </c>
      <c r="C218" s="50"/>
      <c r="D218" s="50"/>
      <c r="E218" s="73">
        <f>(1-(COUNTIF(D216:D217, "*Competitive Bid*"))/(COUNTA(D216:D217)))</f>
        <v>1</v>
      </c>
      <c r="F218" s="50"/>
      <c r="G218" s="158">
        <f>SUM(G216:G217)</f>
        <v>91502108</v>
      </c>
      <c r="H218" s="77">
        <f>SUM(G216:G217)/G218</f>
        <v>1</v>
      </c>
    </row>
    <row r="219" spans="1:8" outlineLevel="1" x14ac:dyDescent="0.25">
      <c r="A219" s="52" t="s">
        <v>94</v>
      </c>
      <c r="B219" s="52">
        <v>2014</v>
      </c>
      <c r="C219" t="s">
        <v>97</v>
      </c>
      <c r="D219" t="s">
        <v>8</v>
      </c>
      <c r="E219" s="9"/>
      <c r="F219" t="s">
        <v>69</v>
      </c>
      <c r="G219" s="154">
        <v>6000000</v>
      </c>
    </row>
    <row r="220" spans="1:8" outlineLevel="1" x14ac:dyDescent="0.25">
      <c r="A220" s="52" t="s">
        <v>94</v>
      </c>
      <c r="B220" s="52">
        <v>2014</v>
      </c>
      <c r="C220" t="s">
        <v>98</v>
      </c>
      <c r="D220" t="s">
        <v>8</v>
      </c>
      <c r="E220" s="9"/>
      <c r="F220" t="s">
        <v>69</v>
      </c>
      <c r="G220" s="154">
        <v>42600000</v>
      </c>
    </row>
    <row r="221" spans="1:8" x14ac:dyDescent="0.25">
      <c r="A221" s="80" t="s">
        <v>331</v>
      </c>
      <c r="B221" s="80">
        <v>2014</v>
      </c>
      <c r="C221" s="50"/>
      <c r="D221" s="50"/>
      <c r="E221" s="73">
        <f>(1-(COUNTIF(D219:D220, "*Competitive Bid*"))/(COUNTA(D219:D220)))</f>
        <v>1</v>
      </c>
      <c r="F221" s="50"/>
      <c r="G221" s="158">
        <f>SUM(G219:G220)</f>
        <v>48600000</v>
      </c>
      <c r="H221" s="77">
        <f>SUM(G219:G220)/G221</f>
        <v>1</v>
      </c>
    </row>
    <row r="222" spans="1:8" outlineLevel="1" x14ac:dyDescent="0.25">
      <c r="A222" s="52" t="s">
        <v>104</v>
      </c>
      <c r="B222" s="52">
        <v>2014</v>
      </c>
      <c r="C222" t="s">
        <v>108</v>
      </c>
      <c r="D222" t="s">
        <v>8</v>
      </c>
      <c r="E222" s="9"/>
      <c r="F222" t="s">
        <v>69</v>
      </c>
      <c r="G222" s="154">
        <v>40214071</v>
      </c>
    </row>
    <row r="223" spans="1:8" outlineLevel="1" x14ac:dyDescent="0.25">
      <c r="A223" s="52" t="s">
        <v>104</v>
      </c>
      <c r="B223" s="52">
        <v>2014</v>
      </c>
      <c r="C223" t="s">
        <v>113</v>
      </c>
      <c r="D223" t="s">
        <v>19</v>
      </c>
      <c r="E223" s="9"/>
      <c r="F223" t="s">
        <v>112</v>
      </c>
      <c r="G223" s="154">
        <v>23275715</v>
      </c>
    </row>
    <row r="224" spans="1:8" outlineLevel="1" x14ac:dyDescent="0.25">
      <c r="A224" s="52" t="s">
        <v>104</v>
      </c>
      <c r="B224" s="52">
        <v>2014</v>
      </c>
      <c r="C224" t="s">
        <v>114</v>
      </c>
      <c r="D224" t="s">
        <v>19</v>
      </c>
      <c r="E224" s="9"/>
      <c r="F224" t="s">
        <v>115</v>
      </c>
      <c r="G224" s="154">
        <v>6424000</v>
      </c>
    </row>
    <row r="225" spans="1:8" x14ac:dyDescent="0.25">
      <c r="A225" s="80" t="s">
        <v>332</v>
      </c>
      <c r="B225" s="80">
        <v>2014</v>
      </c>
      <c r="C225" s="50"/>
      <c r="D225" s="50"/>
      <c r="E225" s="73">
        <f>(1-(COUNTIF(D222:D224, "*Competitive Bid*"))/(COUNTA(D222:D224)))</f>
        <v>0.33333333333333337</v>
      </c>
      <c r="F225" s="50"/>
      <c r="G225" s="158">
        <f>SUM(G222:G224)</f>
        <v>69913786</v>
      </c>
      <c r="H225" s="77">
        <f>SUM(G222)/G225</f>
        <v>0.57519515535891586</v>
      </c>
    </row>
    <row r="226" spans="1:8" outlineLevel="1" x14ac:dyDescent="0.25">
      <c r="A226" s="52" t="s">
        <v>119</v>
      </c>
      <c r="B226" s="52">
        <v>2014</v>
      </c>
      <c r="C226" t="s">
        <v>123</v>
      </c>
      <c r="D226" t="s">
        <v>121</v>
      </c>
      <c r="E226" s="9"/>
      <c r="F226" t="s">
        <v>9</v>
      </c>
      <c r="G226" s="154">
        <v>25698255</v>
      </c>
    </row>
    <row r="227" spans="1:8" x14ac:dyDescent="0.25">
      <c r="A227" s="80" t="s">
        <v>333</v>
      </c>
      <c r="B227" s="80">
        <v>2014</v>
      </c>
      <c r="C227" s="50"/>
      <c r="D227" s="50"/>
      <c r="E227" s="73">
        <f>(1-(COUNTIF(D226, "*Competitive Bid*"))/(COUNTA(D226)))</f>
        <v>1</v>
      </c>
      <c r="F227" s="50"/>
      <c r="G227" s="158">
        <f>SUM(G226)</f>
        <v>25698255</v>
      </c>
      <c r="H227" s="77">
        <f>SUM(G226)/G227</f>
        <v>1</v>
      </c>
    </row>
    <row r="228" spans="1:8" outlineLevel="1" x14ac:dyDescent="0.25">
      <c r="A228" s="52" t="s">
        <v>129</v>
      </c>
      <c r="B228" s="52">
        <v>2014</v>
      </c>
      <c r="C228" t="s">
        <v>149</v>
      </c>
      <c r="D228" t="s">
        <v>8</v>
      </c>
      <c r="E228" s="9"/>
      <c r="F228" t="s">
        <v>150</v>
      </c>
      <c r="G228" s="154">
        <v>7940472</v>
      </c>
    </row>
    <row r="229" spans="1:8" outlineLevel="1" x14ac:dyDescent="0.25">
      <c r="A229" s="52" t="s">
        <v>129</v>
      </c>
      <c r="B229" s="52">
        <v>2014</v>
      </c>
      <c r="C229" t="s">
        <v>151</v>
      </c>
      <c r="D229" t="s">
        <v>8</v>
      </c>
      <c r="E229" s="9"/>
      <c r="F229" t="s">
        <v>11</v>
      </c>
      <c r="G229" s="154">
        <v>7995068</v>
      </c>
    </row>
    <row r="230" spans="1:8" outlineLevel="1" x14ac:dyDescent="0.25">
      <c r="A230" s="52" t="s">
        <v>129</v>
      </c>
      <c r="B230" s="52">
        <v>2014</v>
      </c>
      <c r="C230" t="s">
        <v>152</v>
      </c>
      <c r="D230" t="s">
        <v>8</v>
      </c>
      <c r="E230" s="9"/>
      <c r="F230" t="s">
        <v>11</v>
      </c>
      <c r="G230" s="154">
        <v>7151160</v>
      </c>
    </row>
    <row r="231" spans="1:8" outlineLevel="1" x14ac:dyDescent="0.25">
      <c r="A231" s="52" t="s">
        <v>129</v>
      </c>
      <c r="B231" s="52">
        <v>2014</v>
      </c>
      <c r="C231" t="s">
        <v>153</v>
      </c>
      <c r="D231" t="s">
        <v>8</v>
      </c>
      <c r="E231" s="9"/>
      <c r="F231" t="s">
        <v>11</v>
      </c>
      <c r="G231" s="154">
        <v>12565643</v>
      </c>
    </row>
    <row r="232" spans="1:8" outlineLevel="1" x14ac:dyDescent="0.25">
      <c r="A232" s="52" t="s">
        <v>129</v>
      </c>
      <c r="B232" s="52">
        <v>2014</v>
      </c>
      <c r="C232" t="s">
        <v>154</v>
      </c>
      <c r="D232" t="s">
        <v>8</v>
      </c>
      <c r="E232" s="9"/>
      <c r="F232" t="s">
        <v>49</v>
      </c>
      <c r="G232" s="154">
        <v>20687149</v>
      </c>
    </row>
    <row r="233" spans="1:8" x14ac:dyDescent="0.25">
      <c r="A233" s="80" t="s">
        <v>334</v>
      </c>
      <c r="B233" s="80">
        <v>2014</v>
      </c>
      <c r="C233" s="50"/>
      <c r="D233" s="50"/>
      <c r="E233" s="73">
        <f>(1-(COUNTIF(D228:D232, "*Competitive Bid*"))/(COUNTA(D228:D232)))</f>
        <v>1</v>
      </c>
      <c r="F233" s="50"/>
      <c r="G233" s="158">
        <f>SUM(G228:G232)</f>
        <v>56339492</v>
      </c>
      <c r="H233" s="77">
        <f>SUM(G228:G232)/G233</f>
        <v>1</v>
      </c>
    </row>
    <row r="234" spans="1:8" outlineLevel="1" x14ac:dyDescent="0.25">
      <c r="A234" s="52" t="s">
        <v>191</v>
      </c>
      <c r="B234" s="52">
        <v>2014</v>
      </c>
      <c r="C234" t="s">
        <v>206</v>
      </c>
      <c r="D234" t="s">
        <v>8</v>
      </c>
      <c r="E234" s="9"/>
      <c r="F234" t="s">
        <v>143</v>
      </c>
      <c r="G234" s="154">
        <v>69704066</v>
      </c>
    </row>
    <row r="235" spans="1:8" outlineLevel="1" x14ac:dyDescent="0.25">
      <c r="A235" s="52" t="s">
        <v>191</v>
      </c>
      <c r="B235" s="52">
        <v>2014</v>
      </c>
      <c r="C235" t="s">
        <v>212</v>
      </c>
      <c r="D235" t="s">
        <v>33</v>
      </c>
      <c r="E235" s="9"/>
      <c r="F235" t="s">
        <v>9</v>
      </c>
      <c r="G235" s="154">
        <v>18000000</v>
      </c>
    </row>
    <row r="236" spans="1:8" x14ac:dyDescent="0.25">
      <c r="A236" s="80" t="s">
        <v>336</v>
      </c>
      <c r="B236" s="80">
        <v>2014</v>
      </c>
      <c r="C236" s="50"/>
      <c r="D236" s="50"/>
      <c r="E236" s="73">
        <f>(1-(COUNTIF(D234:D235, "*Competitive Bid*"))/(COUNTA(D234:D235)))</f>
        <v>1</v>
      </c>
      <c r="F236" s="50"/>
      <c r="G236" s="158">
        <f>SUM(G234:G235)</f>
        <v>87704066</v>
      </c>
      <c r="H236" s="77">
        <f>SUM(G234:G235)/G236</f>
        <v>1</v>
      </c>
    </row>
    <row r="237" spans="1:8" outlineLevel="1" x14ac:dyDescent="0.25">
      <c r="A237" s="52" t="s">
        <v>227</v>
      </c>
      <c r="B237" s="52">
        <v>2014</v>
      </c>
      <c r="C237" t="s">
        <v>236</v>
      </c>
      <c r="D237" t="s">
        <v>8</v>
      </c>
      <c r="E237" s="9"/>
      <c r="F237" t="s">
        <v>11</v>
      </c>
      <c r="G237" s="154">
        <v>18887949</v>
      </c>
    </row>
    <row r="238" spans="1:8" outlineLevel="1" x14ac:dyDescent="0.25">
      <c r="A238" s="52" t="s">
        <v>227</v>
      </c>
      <c r="B238" s="52">
        <v>2014</v>
      </c>
      <c r="C238" t="s">
        <v>238</v>
      </c>
      <c r="D238" t="s">
        <v>19</v>
      </c>
      <c r="E238" s="9"/>
      <c r="F238" t="s">
        <v>239</v>
      </c>
      <c r="G238" s="154">
        <v>11109600</v>
      </c>
    </row>
    <row r="239" spans="1:8" outlineLevel="1" x14ac:dyDescent="0.25">
      <c r="A239" s="52" t="s">
        <v>227</v>
      </c>
      <c r="B239" s="52">
        <v>2014</v>
      </c>
      <c r="C239" t="s">
        <v>240</v>
      </c>
      <c r="D239" t="s">
        <v>19</v>
      </c>
      <c r="E239" s="9"/>
      <c r="F239" t="s">
        <v>75</v>
      </c>
      <c r="G239" s="154">
        <v>24698825</v>
      </c>
    </row>
    <row r="240" spans="1:8" outlineLevel="1" x14ac:dyDescent="0.25">
      <c r="A240" s="52" t="s">
        <v>227</v>
      </c>
      <c r="B240" s="52">
        <v>2014</v>
      </c>
      <c r="C240" t="s">
        <v>246</v>
      </c>
      <c r="D240" t="s">
        <v>8</v>
      </c>
      <c r="E240" s="9"/>
      <c r="F240" t="s">
        <v>229</v>
      </c>
      <c r="G240" s="154">
        <v>12151212</v>
      </c>
    </row>
    <row r="241" spans="1:9" outlineLevel="1" x14ac:dyDescent="0.25">
      <c r="A241" s="52" t="s">
        <v>227</v>
      </c>
      <c r="B241" s="52">
        <v>2014</v>
      </c>
      <c r="C241" t="s">
        <v>247</v>
      </c>
      <c r="D241" t="s">
        <v>8</v>
      </c>
      <c r="E241" s="9"/>
      <c r="F241" t="s">
        <v>69</v>
      </c>
      <c r="G241" s="154">
        <v>18956502</v>
      </c>
    </row>
    <row r="242" spans="1:9" x14ac:dyDescent="0.25">
      <c r="A242" s="80" t="s">
        <v>338</v>
      </c>
      <c r="B242" s="80">
        <v>2014</v>
      </c>
      <c r="C242" s="50"/>
      <c r="D242" s="50"/>
      <c r="E242" s="73">
        <f>(1-(COUNTIF(D237:D241, "*Competitive Bid*"))/(COUNTA(D237:D241)))</f>
        <v>0.6</v>
      </c>
      <c r="F242" s="50"/>
      <c r="G242" s="158">
        <f>SUM(G237:G241)</f>
        <v>85804088</v>
      </c>
      <c r="H242" s="77">
        <f>(SUM(G237)+SUM(G240:G241))/G242</f>
        <v>0.5826722731439089</v>
      </c>
      <c r="I242" s="85"/>
    </row>
    <row r="243" spans="1:9" outlineLevel="1" x14ac:dyDescent="0.25">
      <c r="A243" s="52" t="s">
        <v>249</v>
      </c>
      <c r="B243" s="52">
        <v>2014</v>
      </c>
      <c r="C243" t="s">
        <v>258</v>
      </c>
      <c r="D243" t="s">
        <v>8</v>
      </c>
      <c r="E243" s="9"/>
      <c r="F243" t="s">
        <v>9</v>
      </c>
      <c r="G243" s="154">
        <v>37092578</v>
      </c>
    </row>
    <row r="244" spans="1:9" outlineLevel="1" x14ac:dyDescent="0.25">
      <c r="A244" s="52" t="s">
        <v>249</v>
      </c>
      <c r="B244" s="52">
        <v>2014</v>
      </c>
      <c r="C244" t="s">
        <v>259</v>
      </c>
      <c r="D244" t="s">
        <v>8</v>
      </c>
      <c r="E244" s="9"/>
      <c r="F244" t="s">
        <v>31</v>
      </c>
      <c r="G244" s="154">
        <v>12058600</v>
      </c>
    </row>
    <row r="245" spans="1:9" outlineLevel="1" x14ac:dyDescent="0.25">
      <c r="A245" s="52" t="s">
        <v>249</v>
      </c>
      <c r="B245" s="52">
        <v>2014</v>
      </c>
      <c r="C245" t="s">
        <v>260</v>
      </c>
      <c r="D245" t="s">
        <v>8</v>
      </c>
      <c r="E245" s="9"/>
      <c r="F245" t="s">
        <v>75</v>
      </c>
      <c r="G245" s="154">
        <v>5468139</v>
      </c>
    </row>
    <row r="246" spans="1:9" x14ac:dyDescent="0.25">
      <c r="A246" s="80" t="s">
        <v>339</v>
      </c>
      <c r="B246" s="80">
        <v>2014</v>
      </c>
      <c r="C246" s="50"/>
      <c r="D246" s="50"/>
      <c r="E246" s="73">
        <f>(1-(COUNTIF(D243:D245, "*Competitive Bid*"))/(COUNTA(D243:D245)))</f>
        <v>1</v>
      </c>
      <c r="F246" s="50"/>
      <c r="G246" s="158">
        <f>SUM(G243:G245)</f>
        <v>54619317</v>
      </c>
      <c r="H246" s="77">
        <f>SUM(G243:G245)/G246</f>
        <v>1</v>
      </c>
    </row>
    <row r="247" spans="1:9" outlineLevel="1" x14ac:dyDescent="0.25">
      <c r="A247" s="52" t="s">
        <v>269</v>
      </c>
      <c r="B247" s="52">
        <v>2014</v>
      </c>
      <c r="C247" t="s">
        <v>273</v>
      </c>
      <c r="D247" t="s">
        <v>8</v>
      </c>
      <c r="E247" s="9"/>
      <c r="F247" t="s">
        <v>75</v>
      </c>
      <c r="G247" s="154">
        <v>28876276</v>
      </c>
    </row>
    <row r="248" spans="1:9" x14ac:dyDescent="0.25">
      <c r="A248" s="80" t="s">
        <v>340</v>
      </c>
      <c r="B248" s="80">
        <v>2014</v>
      </c>
      <c r="C248" s="50"/>
      <c r="D248" s="50"/>
      <c r="E248" s="73">
        <f>(1-(COUNTIF(D247, "*Competitive Bid*"))/(COUNTA(D247)))</f>
        <v>1</v>
      </c>
      <c r="F248" s="50"/>
      <c r="G248" s="158">
        <f>SUM(G247)</f>
        <v>28876276</v>
      </c>
      <c r="H248" s="77">
        <f>SUM(G247)/G248</f>
        <v>1</v>
      </c>
    </row>
    <row r="249" spans="1:9" outlineLevel="1" x14ac:dyDescent="0.25">
      <c r="A249" s="52" t="s">
        <v>277</v>
      </c>
      <c r="B249" s="52">
        <v>2014</v>
      </c>
      <c r="C249" t="s">
        <v>289</v>
      </c>
      <c r="D249" t="s">
        <v>8</v>
      </c>
      <c r="E249" s="9"/>
      <c r="F249" t="s">
        <v>143</v>
      </c>
      <c r="G249" s="154">
        <v>22078719</v>
      </c>
    </row>
    <row r="250" spans="1:9" outlineLevel="1" x14ac:dyDescent="0.25">
      <c r="A250" s="52" t="s">
        <v>277</v>
      </c>
      <c r="B250" s="52">
        <v>2014</v>
      </c>
      <c r="C250" t="s">
        <v>290</v>
      </c>
      <c r="D250" t="s">
        <v>8</v>
      </c>
      <c r="E250" s="9"/>
      <c r="F250" t="s">
        <v>58</v>
      </c>
      <c r="G250" s="154">
        <v>5600000</v>
      </c>
    </row>
    <row r="251" spans="1:9" ht="15.75" thickBot="1" x14ac:dyDescent="0.3">
      <c r="A251" s="81" t="s">
        <v>341</v>
      </c>
      <c r="B251" s="81">
        <v>2014</v>
      </c>
      <c r="C251" s="72"/>
      <c r="D251" s="72"/>
      <c r="E251" s="78">
        <f>(1-(COUNTIF(D249:D250, "*Competitive Bid*"))/(COUNTA(D249:D250)))</f>
        <v>1</v>
      </c>
      <c r="F251" s="72"/>
      <c r="G251" s="155">
        <f>SUM(G249:G250)</f>
        <v>27678719</v>
      </c>
      <c r="H251" s="78">
        <f>SUM(G249:G250)/G251</f>
        <v>1</v>
      </c>
    </row>
    <row r="252" spans="1:9" s="19" customFormat="1" outlineLevel="1" x14ac:dyDescent="0.25">
      <c r="A252" s="87" t="s">
        <v>89</v>
      </c>
      <c r="B252" s="87">
        <v>2015</v>
      </c>
      <c r="C252" s="21" t="s">
        <v>90</v>
      </c>
      <c r="D252" s="21" t="s">
        <v>8</v>
      </c>
      <c r="E252" s="9"/>
      <c r="F252" s="21" t="s">
        <v>69</v>
      </c>
      <c r="G252" s="161">
        <v>60584000</v>
      </c>
      <c r="H252" s="52"/>
    </row>
    <row r="253" spans="1:9" x14ac:dyDescent="0.25">
      <c r="A253" s="82" t="s">
        <v>328</v>
      </c>
      <c r="B253" s="82">
        <v>2015</v>
      </c>
      <c r="C253" s="74"/>
      <c r="D253" s="74"/>
      <c r="E253" s="108">
        <f>(1-(COUNTIF(D252, "*Competitive Bid*"))/(COUNTA(D252)))</f>
        <v>1</v>
      </c>
      <c r="F253" s="74"/>
      <c r="G253" s="157">
        <f>SUM(G252)</f>
        <v>60584000</v>
      </c>
      <c r="H253" s="108">
        <f>G252/G253</f>
        <v>1</v>
      </c>
    </row>
    <row r="254" spans="1:9" s="19" customFormat="1" outlineLevel="1" x14ac:dyDescent="0.25">
      <c r="A254" s="87" t="s">
        <v>94</v>
      </c>
      <c r="B254" s="87">
        <v>2015</v>
      </c>
      <c r="C254" s="21" t="s">
        <v>102</v>
      </c>
      <c r="D254" s="21" t="s">
        <v>19</v>
      </c>
      <c r="E254" s="9"/>
      <c r="F254" s="21" t="s">
        <v>103</v>
      </c>
      <c r="G254" s="161">
        <v>6592833</v>
      </c>
      <c r="H254" s="109"/>
    </row>
    <row r="255" spans="1:9" x14ac:dyDescent="0.25">
      <c r="A255" s="82" t="s">
        <v>331</v>
      </c>
      <c r="B255" s="82">
        <v>2015</v>
      </c>
      <c r="C255" s="74"/>
      <c r="D255" s="74"/>
      <c r="E255" s="108">
        <f>(1-(COUNTIF(D254, "*Competitive Bid*"))/(COUNTA(D254)))</f>
        <v>0</v>
      </c>
      <c r="F255" s="74"/>
      <c r="G255" s="157">
        <f>SUM(G254)</f>
        <v>6592833</v>
      </c>
      <c r="H255" s="108">
        <f>(0)/G255</f>
        <v>0</v>
      </c>
    </row>
    <row r="256" spans="1:9" outlineLevel="1" x14ac:dyDescent="0.25">
      <c r="A256" s="53" t="s">
        <v>191</v>
      </c>
      <c r="B256" s="53">
        <v>2015</v>
      </c>
      <c r="C256" s="19" t="s">
        <v>222</v>
      </c>
      <c r="D256" s="19" t="s">
        <v>8</v>
      </c>
      <c r="E256" s="9"/>
      <c r="F256" s="19" t="s">
        <v>9</v>
      </c>
      <c r="G256" s="162">
        <v>30600000</v>
      </c>
    </row>
    <row r="257" spans="1:8" x14ac:dyDescent="0.25">
      <c r="A257" s="80" t="s">
        <v>336</v>
      </c>
      <c r="B257" s="80">
        <v>2015</v>
      </c>
      <c r="C257" s="50"/>
      <c r="D257" s="50"/>
      <c r="E257" s="73">
        <f>(1-(COUNTIF(D256, "*Competitive Bid*"))/(COUNTA(D256)))</f>
        <v>1</v>
      </c>
      <c r="F257" s="50"/>
      <c r="G257" s="158">
        <f>SUM(G256)</f>
        <v>30600000</v>
      </c>
      <c r="H257" s="77">
        <f>SUM(G256)/G257</f>
        <v>1</v>
      </c>
    </row>
    <row r="258" spans="1:8" outlineLevel="1" x14ac:dyDescent="0.25">
      <c r="A258" s="53" t="s">
        <v>249</v>
      </c>
      <c r="B258" s="53">
        <v>2015</v>
      </c>
      <c r="C258" s="19" t="s">
        <v>267</v>
      </c>
      <c r="D258" s="19" t="s">
        <v>8</v>
      </c>
      <c r="E258" s="9"/>
      <c r="F258" s="19" t="s">
        <v>11</v>
      </c>
      <c r="G258" s="162">
        <v>61494549</v>
      </c>
    </row>
    <row r="259" spans="1:8" x14ac:dyDescent="0.25">
      <c r="A259" s="80" t="s">
        <v>339</v>
      </c>
      <c r="B259" s="80">
        <v>2015</v>
      </c>
      <c r="C259" s="50"/>
      <c r="D259" s="50"/>
      <c r="E259" s="73">
        <f>(1-(COUNTIF(D258, "*Competitive Bid*"))/(COUNTA(D258)))</f>
        <v>1</v>
      </c>
      <c r="F259" s="50"/>
      <c r="G259" s="158">
        <f>SUM(G258)</f>
        <v>61494549</v>
      </c>
      <c r="H259" s="77">
        <f>SUM(G258)/G259</f>
        <v>1</v>
      </c>
    </row>
    <row r="260" spans="1:8" outlineLevel="1" x14ac:dyDescent="0.25">
      <c r="A260" s="53" t="s">
        <v>269</v>
      </c>
      <c r="B260" s="53">
        <v>2015</v>
      </c>
      <c r="C260" s="19" t="s">
        <v>274</v>
      </c>
      <c r="D260" s="19" t="s">
        <v>8</v>
      </c>
      <c r="E260" s="9"/>
      <c r="F260" s="19" t="s">
        <v>9</v>
      </c>
      <c r="G260" s="162">
        <v>19521343</v>
      </c>
    </row>
    <row r="261" spans="1:8" outlineLevel="1" x14ac:dyDescent="0.25">
      <c r="A261" s="53" t="s">
        <v>269</v>
      </c>
      <c r="B261" s="53">
        <v>2015</v>
      </c>
      <c r="C261" s="19" t="s">
        <v>275</v>
      </c>
      <c r="D261" s="19" t="s">
        <v>8</v>
      </c>
      <c r="E261" s="9"/>
      <c r="F261" s="19" t="s">
        <v>75</v>
      </c>
      <c r="G261" s="162">
        <v>33201000</v>
      </c>
    </row>
    <row r="262" spans="1:8" ht="15.75" thickBot="1" x14ac:dyDescent="0.3">
      <c r="A262" s="81" t="s">
        <v>340</v>
      </c>
      <c r="B262" s="81">
        <v>2015</v>
      </c>
      <c r="C262" s="72"/>
      <c r="D262" s="72"/>
      <c r="E262" s="78">
        <f>(1-(COUNTIF(D260:D261, "*Competitive Bid*"))/(COUNTA(D260:D261)))</f>
        <v>1</v>
      </c>
      <c r="F262" s="72"/>
      <c r="G262" s="155">
        <f>SUM(G260:G261)</f>
        <v>52722343</v>
      </c>
      <c r="H262" s="78">
        <f>SUM(G260:G261)/G262</f>
        <v>1</v>
      </c>
    </row>
    <row r="263" spans="1:8" outlineLevel="1" x14ac:dyDescent="0.25">
      <c r="A263" s="53" t="s">
        <v>6</v>
      </c>
      <c r="B263" s="53">
        <v>2016</v>
      </c>
      <c r="C263" s="19" t="s">
        <v>17</v>
      </c>
      <c r="D263" s="19" t="s">
        <v>8</v>
      </c>
      <c r="E263" s="9"/>
      <c r="F263" s="19" t="s">
        <v>9</v>
      </c>
      <c r="G263" s="162">
        <v>43418000</v>
      </c>
      <c r="H263" s="109"/>
    </row>
    <row r="264" spans="1:8" outlineLevel="1" x14ac:dyDescent="0.25">
      <c r="A264" s="53" t="s">
        <v>6</v>
      </c>
      <c r="B264" s="53">
        <v>2016</v>
      </c>
      <c r="C264" s="19" t="s">
        <v>18</v>
      </c>
      <c r="D264" s="19" t="s">
        <v>19</v>
      </c>
      <c r="E264" s="9"/>
      <c r="F264" s="19" t="s">
        <v>11</v>
      </c>
      <c r="G264" s="162">
        <v>5835000</v>
      </c>
      <c r="H264" s="109"/>
    </row>
    <row r="265" spans="1:8" outlineLevel="1" x14ac:dyDescent="0.25">
      <c r="A265" s="87" t="s">
        <v>6</v>
      </c>
      <c r="B265" s="87">
        <v>2016</v>
      </c>
      <c r="C265" s="21" t="s">
        <v>20</v>
      </c>
      <c r="D265" s="21" t="s">
        <v>19</v>
      </c>
      <c r="E265" s="9"/>
      <c r="F265" s="21" t="s">
        <v>21</v>
      </c>
      <c r="G265" s="161">
        <v>9500000</v>
      </c>
      <c r="H265" s="109"/>
    </row>
    <row r="266" spans="1:8" x14ac:dyDescent="0.25">
      <c r="A266" s="82" t="s">
        <v>322</v>
      </c>
      <c r="B266" s="82">
        <v>2016</v>
      </c>
      <c r="C266" s="74"/>
      <c r="D266" s="74"/>
      <c r="E266" s="108">
        <f>(1-(COUNTIF(D263:D265,"*Competitive Bid*"))/(COUNTA(D263:D265)))</f>
        <v>0.33333333333333337</v>
      </c>
      <c r="F266" s="74"/>
      <c r="G266" s="157">
        <f>SUM(G263:G265)</f>
        <v>58753000</v>
      </c>
      <c r="H266" s="108">
        <f>(G263)/G266</f>
        <v>0.73899205146971214</v>
      </c>
    </row>
    <row r="267" spans="1:8" outlineLevel="1" x14ac:dyDescent="0.25">
      <c r="A267" s="87" t="s">
        <v>23</v>
      </c>
      <c r="B267" s="87">
        <v>2016</v>
      </c>
      <c r="C267" s="21" t="s">
        <v>46</v>
      </c>
      <c r="D267" s="21" t="s">
        <v>8</v>
      </c>
      <c r="E267" s="9"/>
      <c r="F267" s="21" t="s">
        <v>11</v>
      </c>
      <c r="G267" s="161">
        <v>54797710</v>
      </c>
    </row>
    <row r="268" spans="1:8" x14ac:dyDescent="0.25">
      <c r="A268" s="82" t="s">
        <v>323</v>
      </c>
      <c r="B268" s="82">
        <v>2016</v>
      </c>
      <c r="C268" s="74"/>
      <c r="D268" s="74"/>
      <c r="E268" s="73">
        <f>(1-(COUNTIF(D267, "*Competitive Bid*"))/(COUNTA(D267)))</f>
        <v>1</v>
      </c>
      <c r="F268" s="74"/>
      <c r="G268" s="160">
        <f>SUM(G267)</f>
        <v>54797710</v>
      </c>
      <c r="H268" s="77">
        <f>SUM(G267)/G268</f>
        <v>1</v>
      </c>
    </row>
    <row r="269" spans="1:8" outlineLevel="1" x14ac:dyDescent="0.25">
      <c r="A269" s="87" t="s">
        <v>47</v>
      </c>
      <c r="B269" s="87">
        <v>2016</v>
      </c>
      <c r="C269" s="21" t="s">
        <v>65</v>
      </c>
      <c r="D269" s="21" t="s">
        <v>8</v>
      </c>
      <c r="E269" s="9"/>
      <c r="F269" s="21" t="s">
        <v>9</v>
      </c>
      <c r="G269" s="161">
        <v>19543856</v>
      </c>
    </row>
    <row r="270" spans="1:8" outlineLevel="1" x14ac:dyDescent="0.25">
      <c r="A270" s="87" t="s">
        <v>47</v>
      </c>
      <c r="B270" s="87">
        <v>2016</v>
      </c>
      <c r="C270" s="21" t="s">
        <v>66</v>
      </c>
      <c r="D270" s="21" t="s">
        <v>19</v>
      </c>
      <c r="E270" s="9"/>
      <c r="F270" s="21" t="s">
        <v>67</v>
      </c>
      <c r="G270" s="161">
        <v>5869548</v>
      </c>
    </row>
    <row r="271" spans="1:8" outlineLevel="1" x14ac:dyDescent="0.25">
      <c r="A271" s="87" t="s">
        <v>47</v>
      </c>
      <c r="B271" s="87">
        <v>2016</v>
      </c>
      <c r="C271" s="21" t="s">
        <v>382</v>
      </c>
      <c r="D271" s="21" t="s">
        <v>8</v>
      </c>
      <c r="E271" s="9"/>
      <c r="F271" s="21" t="s">
        <v>52</v>
      </c>
      <c r="G271" s="161">
        <v>57312163</v>
      </c>
    </row>
    <row r="272" spans="1:8" x14ac:dyDescent="0.25">
      <c r="A272" s="82" t="s">
        <v>326</v>
      </c>
      <c r="B272" s="82">
        <v>2016</v>
      </c>
      <c r="C272" s="74"/>
      <c r="D272" s="74"/>
      <c r="E272" s="73">
        <f>(1-(COUNTIF(D269:D271, "*Competitive Bid*"))/(COUNTA(D269:D271)))</f>
        <v>0.66666666666666674</v>
      </c>
      <c r="F272" s="74"/>
      <c r="G272" s="160">
        <f>SUM(G269:G271)</f>
        <v>82725567</v>
      </c>
      <c r="H272" s="77">
        <f>(G269+G271)/G272</f>
        <v>0.92904795684265296</v>
      </c>
    </row>
    <row r="273" spans="1:8" s="19" customFormat="1" outlineLevel="1" x14ac:dyDescent="0.25">
      <c r="A273" s="87" t="s">
        <v>73</v>
      </c>
      <c r="B273" s="87">
        <v>2016</v>
      </c>
      <c r="C273" s="21" t="s">
        <v>84</v>
      </c>
      <c r="D273" s="21" t="s">
        <v>19</v>
      </c>
      <c r="E273" s="9"/>
      <c r="F273" s="21" t="s">
        <v>85</v>
      </c>
      <c r="G273" s="161">
        <v>6556593</v>
      </c>
      <c r="H273" s="52"/>
    </row>
    <row r="274" spans="1:8" x14ac:dyDescent="0.25">
      <c r="A274" s="82" t="s">
        <v>327</v>
      </c>
      <c r="B274" s="82">
        <v>2016</v>
      </c>
      <c r="C274" s="74"/>
      <c r="D274" s="74"/>
      <c r="E274" s="73">
        <f>(1-(COUNTIF(D273, "*Competitive Bid*"))/(COUNTA(D273)))</f>
        <v>0</v>
      </c>
      <c r="F274" s="74"/>
      <c r="G274" s="160">
        <f>SUM(G273)</f>
        <v>6556593</v>
      </c>
      <c r="H274" s="77">
        <f>(0)/G274</f>
        <v>0</v>
      </c>
    </row>
    <row r="275" spans="1:8" outlineLevel="1" x14ac:dyDescent="0.25">
      <c r="A275" s="87" t="s">
        <v>104</v>
      </c>
      <c r="B275" s="87">
        <v>2016</v>
      </c>
      <c r="C275" s="21" t="s">
        <v>117</v>
      </c>
      <c r="D275" s="21" t="s">
        <v>33</v>
      </c>
      <c r="E275" s="9"/>
      <c r="F275" s="21" t="s">
        <v>112</v>
      </c>
      <c r="G275" s="161">
        <v>5643936</v>
      </c>
    </row>
    <row r="276" spans="1:8" outlineLevel="1" x14ac:dyDescent="0.25">
      <c r="A276" s="87" t="s">
        <v>104</v>
      </c>
      <c r="B276" s="87">
        <v>2016</v>
      </c>
      <c r="C276" s="21" t="s">
        <v>118</v>
      </c>
      <c r="D276" s="21" t="s">
        <v>33</v>
      </c>
      <c r="E276" s="9"/>
      <c r="F276" s="21" t="s">
        <v>112</v>
      </c>
      <c r="G276" s="161">
        <v>6380309</v>
      </c>
    </row>
    <row r="277" spans="1:8" x14ac:dyDescent="0.25">
      <c r="A277" s="82" t="s">
        <v>332</v>
      </c>
      <c r="B277" s="82">
        <v>2016</v>
      </c>
      <c r="C277" s="74"/>
      <c r="D277" s="74"/>
      <c r="E277" s="73">
        <f>(1-(COUNTIF(D275:D276, "*Competitive Bid*"))/(COUNTA(D275:D276)))</f>
        <v>1</v>
      </c>
      <c r="F277" s="74"/>
      <c r="G277" s="160">
        <f>SUM(G275:G276)</f>
        <v>12024245</v>
      </c>
      <c r="H277" s="77">
        <f>SUM(G275:G276)/G277</f>
        <v>1</v>
      </c>
    </row>
    <row r="278" spans="1:8" s="19" customFormat="1" outlineLevel="1" x14ac:dyDescent="0.25">
      <c r="A278" s="87" t="s">
        <v>129</v>
      </c>
      <c r="B278" s="87">
        <v>2016</v>
      </c>
      <c r="C278" s="21" t="s">
        <v>186</v>
      </c>
      <c r="D278" s="21" t="s">
        <v>8</v>
      </c>
      <c r="E278" s="9"/>
      <c r="F278" s="21" t="s">
        <v>143</v>
      </c>
      <c r="G278" s="161">
        <v>70304737</v>
      </c>
      <c r="H278" s="114"/>
    </row>
    <row r="279" spans="1:8" x14ac:dyDescent="0.25">
      <c r="A279" s="82" t="s">
        <v>334</v>
      </c>
      <c r="B279" s="82">
        <v>2016</v>
      </c>
      <c r="C279" s="74"/>
      <c r="D279" s="74"/>
      <c r="E279" s="73">
        <f>(1-(COUNTIF(D278, "*Competitive Bid*"))/(COUNTA(D278)))</f>
        <v>1</v>
      </c>
      <c r="F279" s="74"/>
      <c r="G279" s="160">
        <f>SUM(G278)</f>
        <v>70304737</v>
      </c>
      <c r="H279" s="77">
        <f>SUM(G278)/G279</f>
        <v>1</v>
      </c>
    </row>
    <row r="280" spans="1:8" outlineLevel="1" x14ac:dyDescent="0.25">
      <c r="A280" s="87" t="s">
        <v>249</v>
      </c>
      <c r="B280" s="87">
        <v>2016</v>
      </c>
      <c r="C280" s="21" t="s">
        <v>265</v>
      </c>
      <c r="D280" s="21" t="s">
        <v>19</v>
      </c>
      <c r="E280" s="9"/>
      <c r="F280" s="21" t="s">
        <v>266</v>
      </c>
      <c r="G280" s="161">
        <v>13840000</v>
      </c>
    </row>
    <row r="281" spans="1:8" x14ac:dyDescent="0.25">
      <c r="A281" s="82" t="s">
        <v>339</v>
      </c>
      <c r="B281" s="82">
        <v>2016</v>
      </c>
      <c r="C281" s="74"/>
      <c r="D281" s="74"/>
      <c r="E281" s="73">
        <f>(1-(COUNTIF(D280, "*Competitive Bid*"))/(COUNTA(D280)))</f>
        <v>0</v>
      </c>
      <c r="F281" s="74"/>
      <c r="G281" s="160">
        <f>SUM(G280)</f>
        <v>13840000</v>
      </c>
      <c r="H281" s="77">
        <f>SUM(0)/G281</f>
        <v>0</v>
      </c>
    </row>
    <row r="282" spans="1:8" outlineLevel="1" x14ac:dyDescent="0.25">
      <c r="A282" s="87" t="s">
        <v>277</v>
      </c>
      <c r="B282" s="87">
        <v>2016</v>
      </c>
      <c r="C282" s="21" t="s">
        <v>291</v>
      </c>
      <c r="D282" s="21" t="s">
        <v>8</v>
      </c>
      <c r="E282" s="9"/>
      <c r="F282" s="21" t="s">
        <v>9</v>
      </c>
      <c r="G282" s="161">
        <v>19463177</v>
      </c>
    </row>
    <row r="283" spans="1:8" outlineLevel="1" x14ac:dyDescent="0.25">
      <c r="A283" s="87" t="s">
        <v>277</v>
      </c>
      <c r="B283" s="87">
        <v>2016</v>
      </c>
      <c r="C283" s="21" t="s">
        <v>407</v>
      </c>
      <c r="D283" s="21" t="s">
        <v>8</v>
      </c>
      <c r="E283" s="9"/>
      <c r="F283" s="21" t="s">
        <v>11</v>
      </c>
      <c r="G283" s="161">
        <v>15600000</v>
      </c>
    </row>
    <row r="284" spans="1:8" outlineLevel="1" x14ac:dyDescent="0.25">
      <c r="A284" s="53" t="s">
        <v>277</v>
      </c>
      <c r="B284" s="53">
        <v>2016</v>
      </c>
      <c r="C284" s="19" t="s">
        <v>406</v>
      </c>
      <c r="D284" s="19" t="s">
        <v>8</v>
      </c>
      <c r="E284" s="9"/>
      <c r="F284" s="86" t="s">
        <v>141</v>
      </c>
      <c r="G284" s="162">
        <v>30254000</v>
      </c>
    </row>
    <row r="285" spans="1:8" ht="15.75" thickBot="1" x14ac:dyDescent="0.3">
      <c r="A285" s="81" t="s">
        <v>341</v>
      </c>
      <c r="B285" s="81">
        <v>2016</v>
      </c>
      <c r="C285" s="72"/>
      <c r="D285" s="72"/>
      <c r="E285" s="78">
        <f>(1-(COUNTIF(D282:D284, "*Competitive Bid&amp;*"))/(COUNTA(D282:D284)))</f>
        <v>1</v>
      </c>
      <c r="F285" s="72"/>
      <c r="G285" s="155">
        <f>SUM(G282:G284)</f>
        <v>65317177</v>
      </c>
      <c r="H285" s="78">
        <f>SUM(G282:G284)/G285</f>
        <v>1</v>
      </c>
    </row>
    <row r="286" spans="1:8" outlineLevel="1" x14ac:dyDescent="0.25">
      <c r="A286" s="87" t="s">
        <v>6</v>
      </c>
      <c r="B286" s="87">
        <v>2017</v>
      </c>
      <c r="C286" s="21" t="s">
        <v>22</v>
      </c>
      <c r="D286" s="21" t="s">
        <v>8</v>
      </c>
      <c r="E286" s="9"/>
      <c r="F286" s="21" t="s">
        <v>11</v>
      </c>
      <c r="G286" s="161">
        <v>50464532</v>
      </c>
      <c r="H286" s="109"/>
    </row>
    <row r="287" spans="1:8" outlineLevel="1" x14ac:dyDescent="0.25">
      <c r="A287" s="87"/>
      <c r="B287" s="87"/>
      <c r="C287" s="21"/>
      <c r="D287" s="21"/>
      <c r="E287" s="9"/>
      <c r="F287" s="21"/>
      <c r="G287" s="161"/>
      <c r="H287" s="109"/>
    </row>
    <row r="288" spans="1:8" x14ac:dyDescent="0.25">
      <c r="A288" s="82" t="s">
        <v>322</v>
      </c>
      <c r="B288" s="82">
        <v>2017</v>
      </c>
      <c r="C288" s="74"/>
      <c r="D288" s="74"/>
      <c r="E288" s="108">
        <f>(1-(COUNTIF(D286:D287, "*Competitive Bid*"))/(COUNTA(D286:D287)))</f>
        <v>1</v>
      </c>
      <c r="F288" s="74"/>
      <c r="G288" s="157">
        <f>SUM(G286:G287)</f>
        <v>50464532</v>
      </c>
      <c r="H288" s="108">
        <f>G286/G288</f>
        <v>1</v>
      </c>
    </row>
    <row r="289" spans="1:8" outlineLevel="1" x14ac:dyDescent="0.25">
      <c r="A289" s="53" t="s">
        <v>47</v>
      </c>
      <c r="B289" s="53">
        <v>2017</v>
      </c>
      <c r="C289" s="19" t="s">
        <v>383</v>
      </c>
      <c r="D289" s="19" t="s">
        <v>8</v>
      </c>
      <c r="E289" s="9"/>
      <c r="F289" s="19" t="s">
        <v>69</v>
      </c>
      <c r="G289" s="162">
        <v>99000000</v>
      </c>
    </row>
    <row r="290" spans="1:8" outlineLevel="1" x14ac:dyDescent="0.25">
      <c r="A290" s="53" t="s">
        <v>47</v>
      </c>
      <c r="B290" s="53">
        <v>2017</v>
      </c>
      <c r="C290" s="19" t="s">
        <v>70</v>
      </c>
      <c r="D290" s="19" t="s">
        <v>8</v>
      </c>
      <c r="E290" s="9"/>
      <c r="F290" s="19" t="s">
        <v>9</v>
      </c>
      <c r="G290" s="162">
        <v>26228125</v>
      </c>
    </row>
    <row r="291" spans="1:8" outlineLevel="1" x14ac:dyDescent="0.25">
      <c r="A291" s="53" t="s">
        <v>47</v>
      </c>
      <c r="B291" s="53">
        <v>2017</v>
      </c>
      <c r="C291" s="19" t="s">
        <v>393</v>
      </c>
      <c r="D291" s="19" t="s">
        <v>8</v>
      </c>
      <c r="E291" s="9"/>
      <c r="F291" s="171" t="s">
        <v>9</v>
      </c>
      <c r="G291" s="162">
        <v>49740352</v>
      </c>
    </row>
    <row r="292" spans="1:8" outlineLevel="1" x14ac:dyDescent="0.25">
      <c r="A292" s="53" t="s">
        <v>47</v>
      </c>
      <c r="B292" s="53">
        <v>2017</v>
      </c>
      <c r="C292" s="19" t="s">
        <v>71</v>
      </c>
      <c r="D292" s="19" t="s">
        <v>8</v>
      </c>
      <c r="E292" s="9"/>
      <c r="F292" s="19" t="s">
        <v>58</v>
      </c>
      <c r="G292" s="162">
        <v>72835614</v>
      </c>
    </row>
    <row r="293" spans="1:8" outlineLevel="1" x14ac:dyDescent="0.25">
      <c r="A293" s="87" t="s">
        <v>47</v>
      </c>
      <c r="B293" s="87">
        <v>2017</v>
      </c>
      <c r="C293" s="21" t="s">
        <v>72</v>
      </c>
      <c r="D293" s="21" t="s">
        <v>8</v>
      </c>
      <c r="E293" s="9"/>
      <c r="F293" s="21" t="s">
        <v>61</v>
      </c>
      <c r="G293" s="161">
        <v>20409000</v>
      </c>
    </row>
    <row r="294" spans="1:8" outlineLevel="1" x14ac:dyDescent="0.25">
      <c r="A294" s="87"/>
      <c r="B294" s="87"/>
      <c r="C294" s="21"/>
      <c r="D294" s="21"/>
      <c r="E294" s="9"/>
      <c r="F294" s="21"/>
      <c r="G294" s="161"/>
    </row>
    <row r="295" spans="1:8" x14ac:dyDescent="0.25">
      <c r="A295" s="82" t="s">
        <v>326</v>
      </c>
      <c r="B295" s="82">
        <v>2017</v>
      </c>
      <c r="C295" s="74"/>
      <c r="D295" s="74"/>
      <c r="E295" s="73">
        <f>(1-(COUNTIF(D289:D294, "*Competitive Bid*"))/(COUNTA(D289:D294)))</f>
        <v>1</v>
      </c>
      <c r="F295" s="74"/>
      <c r="G295" s="160">
        <f>SUM(G289:G294)</f>
        <v>268213091</v>
      </c>
      <c r="H295" s="77">
        <f>SUM(G289:G293)/G295</f>
        <v>1</v>
      </c>
    </row>
    <row r="296" spans="1:8" s="19" customFormat="1" outlineLevel="1" x14ac:dyDescent="0.25">
      <c r="A296" s="87" t="s">
        <v>73</v>
      </c>
      <c r="B296" s="87">
        <v>2017</v>
      </c>
      <c r="C296" s="21" t="s">
        <v>87</v>
      </c>
      <c r="D296" s="21" t="s">
        <v>19</v>
      </c>
      <c r="E296" s="9"/>
      <c r="F296" s="21" t="s">
        <v>88</v>
      </c>
      <c r="G296" s="161">
        <v>5192800</v>
      </c>
      <c r="H296" s="52"/>
    </row>
    <row r="297" spans="1:8" s="19" customFormat="1" outlineLevel="1" x14ac:dyDescent="0.25">
      <c r="A297" s="87"/>
      <c r="B297" s="87"/>
      <c r="C297" s="21"/>
      <c r="D297" s="21"/>
      <c r="E297" s="9"/>
      <c r="F297" s="21"/>
      <c r="G297" s="161"/>
      <c r="H297" s="52"/>
    </row>
    <row r="298" spans="1:8" x14ac:dyDescent="0.25">
      <c r="A298" s="82" t="s">
        <v>327</v>
      </c>
      <c r="B298" s="82">
        <v>2017</v>
      </c>
      <c r="C298" s="74"/>
      <c r="D298" s="74"/>
      <c r="E298" s="73">
        <f>(1-(COUNTIF(D296:D297, "*Competitive Bid*"))/(COUNTA(D296:D297)))</f>
        <v>0</v>
      </c>
      <c r="F298" s="74"/>
      <c r="G298" s="160">
        <f>SUM(G296:G297)</f>
        <v>5192800</v>
      </c>
      <c r="H298" s="77">
        <f>(0)/G298</f>
        <v>0</v>
      </c>
    </row>
    <row r="299" spans="1:8" outlineLevel="1" x14ac:dyDescent="0.25">
      <c r="A299" s="144" t="s">
        <v>94</v>
      </c>
      <c r="B299" s="144">
        <v>2017</v>
      </c>
      <c r="C299" s="145" t="s">
        <v>415</v>
      </c>
      <c r="D299" s="145" t="s">
        <v>8</v>
      </c>
      <c r="E299" s="173"/>
      <c r="F299" s="145" t="s">
        <v>9</v>
      </c>
      <c r="G299" s="174">
        <v>47788191</v>
      </c>
      <c r="H299" s="175"/>
    </row>
    <row r="300" spans="1:8" outlineLevel="1" x14ac:dyDescent="0.25">
      <c r="A300" s="144" t="s">
        <v>94</v>
      </c>
      <c r="B300" s="144">
        <v>2017</v>
      </c>
      <c r="C300" s="145" t="s">
        <v>413</v>
      </c>
      <c r="D300" s="145" t="s">
        <v>8</v>
      </c>
      <c r="E300" s="173"/>
      <c r="F300" s="145" t="s">
        <v>9</v>
      </c>
      <c r="G300" s="174">
        <v>60236552</v>
      </c>
      <c r="H300" s="175"/>
    </row>
    <row r="301" spans="1:8" outlineLevel="1" x14ac:dyDescent="0.25">
      <c r="A301" s="144" t="s">
        <v>94</v>
      </c>
      <c r="B301" s="144">
        <v>2017</v>
      </c>
      <c r="C301" s="145" t="s">
        <v>414</v>
      </c>
      <c r="D301" s="145" t="s">
        <v>8</v>
      </c>
      <c r="E301" s="173"/>
      <c r="F301" s="145" t="s">
        <v>69</v>
      </c>
      <c r="G301" s="174">
        <v>59609247</v>
      </c>
      <c r="H301" s="175"/>
    </row>
    <row r="302" spans="1:8" outlineLevel="1" x14ac:dyDescent="0.25">
      <c r="A302" s="144"/>
      <c r="B302" s="144"/>
      <c r="C302" s="145"/>
      <c r="D302" s="145"/>
      <c r="E302" s="173"/>
      <c r="F302" s="145"/>
      <c r="G302" s="174"/>
      <c r="H302" s="175"/>
    </row>
    <row r="303" spans="1:8" x14ac:dyDescent="0.25">
      <c r="A303" s="82" t="s">
        <v>331</v>
      </c>
      <c r="B303" s="82">
        <v>2017</v>
      </c>
      <c r="C303" s="74"/>
      <c r="D303" s="74"/>
      <c r="E303" s="73">
        <f>(1-(COUNTIF(D299:D302, "*Competitive Bid*"))/(COUNTA(D299:D302)))</f>
        <v>1</v>
      </c>
      <c r="F303" s="74"/>
      <c r="G303" s="160">
        <f>SUM(G299:G302)</f>
        <v>167633990</v>
      </c>
      <c r="H303" s="77">
        <f>SUM(G299:G301)/G303</f>
        <v>1</v>
      </c>
    </row>
    <row r="304" spans="1:8" outlineLevel="1" x14ac:dyDescent="0.25">
      <c r="A304" s="87" t="s">
        <v>191</v>
      </c>
      <c r="B304" s="87">
        <v>2017</v>
      </c>
      <c r="C304" s="21" t="s">
        <v>223</v>
      </c>
      <c r="D304" s="21" t="s">
        <v>8</v>
      </c>
      <c r="E304" s="9"/>
      <c r="F304" s="21" t="s">
        <v>75</v>
      </c>
      <c r="G304" s="161">
        <v>25605000</v>
      </c>
    </row>
    <row r="305" spans="1:8" outlineLevel="1" x14ac:dyDescent="0.25">
      <c r="A305" s="87" t="s">
        <v>191</v>
      </c>
      <c r="B305" s="87">
        <v>2017</v>
      </c>
      <c r="C305" s="21" t="s">
        <v>224</v>
      </c>
      <c r="D305" s="21" t="s">
        <v>33</v>
      </c>
      <c r="E305" s="9"/>
      <c r="F305" s="21" t="s">
        <v>11</v>
      </c>
      <c r="G305" s="161">
        <v>14329153</v>
      </c>
    </row>
    <row r="306" spans="1:8" outlineLevel="1" x14ac:dyDescent="0.25">
      <c r="A306" s="87" t="s">
        <v>191</v>
      </c>
      <c r="B306" s="87">
        <v>2017</v>
      </c>
      <c r="C306" s="21" t="s">
        <v>225</v>
      </c>
      <c r="D306" s="21" t="s">
        <v>8</v>
      </c>
      <c r="E306" s="9"/>
      <c r="F306" s="21" t="s">
        <v>75</v>
      </c>
      <c r="G306" s="161">
        <v>14144099</v>
      </c>
    </row>
    <row r="307" spans="1:8" outlineLevel="1" x14ac:dyDescent="0.25">
      <c r="A307" s="87" t="s">
        <v>191</v>
      </c>
      <c r="B307" s="87">
        <v>2017</v>
      </c>
      <c r="C307" s="21" t="s">
        <v>226</v>
      </c>
      <c r="D307" s="21" t="s">
        <v>8</v>
      </c>
      <c r="E307" s="9"/>
      <c r="F307" s="21" t="s">
        <v>9</v>
      </c>
      <c r="G307" s="161">
        <v>15968301</v>
      </c>
    </row>
    <row r="308" spans="1:8" outlineLevel="1" x14ac:dyDescent="0.25">
      <c r="A308" s="87"/>
      <c r="B308" s="87"/>
      <c r="C308" s="21"/>
      <c r="D308" s="21"/>
      <c r="E308" s="9"/>
      <c r="F308" s="21"/>
      <c r="G308" s="161"/>
    </row>
    <row r="309" spans="1:8" x14ac:dyDescent="0.25">
      <c r="A309" s="82" t="s">
        <v>336</v>
      </c>
      <c r="B309" s="82">
        <v>2017</v>
      </c>
      <c r="C309" s="74"/>
      <c r="D309" s="74"/>
      <c r="E309" s="73">
        <f>(1-(COUNTIF(D304:D308, "*Competitive Bid*"))/(COUNTA(D304:D308)))</f>
        <v>1</v>
      </c>
      <c r="F309" s="74"/>
      <c r="G309" s="160">
        <f>SUM(G304:G308)</f>
        <v>70046553</v>
      </c>
      <c r="H309" s="77">
        <f>SUM(G304:G307)/G309</f>
        <v>1</v>
      </c>
    </row>
    <row r="310" spans="1:8" outlineLevel="1" x14ac:dyDescent="0.25">
      <c r="A310" s="144" t="s">
        <v>119</v>
      </c>
      <c r="B310" s="144">
        <v>2017</v>
      </c>
      <c r="C310" s="145" t="s">
        <v>397</v>
      </c>
      <c r="D310" s="145" t="s">
        <v>8</v>
      </c>
      <c r="E310" s="173"/>
      <c r="F310" s="145" t="s">
        <v>49</v>
      </c>
      <c r="G310" s="174">
        <v>24280680</v>
      </c>
      <c r="H310" s="175"/>
    </row>
    <row r="311" spans="1:8" outlineLevel="1" x14ac:dyDescent="0.25">
      <c r="A311" s="144"/>
      <c r="B311" s="144"/>
      <c r="C311" s="145"/>
      <c r="D311" s="145"/>
      <c r="E311" s="173"/>
      <c r="F311" s="145"/>
      <c r="G311" s="174"/>
      <c r="H311" s="175"/>
    </row>
    <row r="312" spans="1:8" x14ac:dyDescent="0.25">
      <c r="A312" s="82" t="s">
        <v>333</v>
      </c>
      <c r="B312" s="82">
        <v>2017</v>
      </c>
      <c r="C312" s="74"/>
      <c r="D312" s="74"/>
      <c r="E312" s="73">
        <f>(1-(COUNTIF(D310:D311, "*Competitive Bid*"))/(COUNTA(D310:D311)))</f>
        <v>1</v>
      </c>
      <c r="F312" s="74"/>
      <c r="G312" s="160">
        <f>SUM(G310:G311)</f>
        <v>24280680</v>
      </c>
      <c r="H312" s="77">
        <f>SUM(G310)/G312</f>
        <v>1</v>
      </c>
    </row>
    <row r="313" spans="1:8" outlineLevel="1" x14ac:dyDescent="0.25">
      <c r="A313" s="87" t="s">
        <v>129</v>
      </c>
      <c r="B313" s="87">
        <v>2017</v>
      </c>
      <c r="C313" s="21" t="s">
        <v>187</v>
      </c>
      <c r="D313" s="21" t="s">
        <v>8</v>
      </c>
      <c r="E313" s="9"/>
      <c r="F313" s="21" t="s">
        <v>146</v>
      </c>
      <c r="G313" s="161">
        <v>10394947</v>
      </c>
      <c r="H313" s="114"/>
    </row>
    <row r="314" spans="1:8" outlineLevel="1" x14ac:dyDescent="0.25">
      <c r="A314" s="87" t="s">
        <v>129</v>
      </c>
      <c r="B314" s="87">
        <v>2017</v>
      </c>
      <c r="C314" s="21" t="s">
        <v>188</v>
      </c>
      <c r="D314" s="21" t="s">
        <v>8</v>
      </c>
      <c r="E314" s="9"/>
      <c r="F314" s="21" t="s">
        <v>11</v>
      </c>
      <c r="G314" s="161">
        <v>43051269</v>
      </c>
      <c r="H314" s="114"/>
    </row>
    <row r="315" spans="1:8" outlineLevel="1" x14ac:dyDescent="0.25">
      <c r="A315" s="87" t="s">
        <v>129</v>
      </c>
      <c r="B315" s="87">
        <v>2017</v>
      </c>
      <c r="C315" s="21" t="s">
        <v>427</v>
      </c>
      <c r="D315" s="21" t="s">
        <v>8</v>
      </c>
      <c r="F315" s="21" t="s">
        <v>428</v>
      </c>
      <c r="G315" s="22">
        <v>6042602</v>
      </c>
      <c r="H315" s="114"/>
    </row>
    <row r="316" spans="1:8" outlineLevel="1" x14ac:dyDescent="0.25">
      <c r="A316" s="87" t="s">
        <v>129</v>
      </c>
      <c r="B316" s="87">
        <v>2017</v>
      </c>
      <c r="C316" s="21" t="s">
        <v>429</v>
      </c>
      <c r="D316" s="21" t="s">
        <v>33</v>
      </c>
      <c r="F316" s="21" t="s">
        <v>430</v>
      </c>
      <c r="G316" s="22">
        <v>6518658</v>
      </c>
      <c r="H316" s="114"/>
    </row>
    <row r="317" spans="1:8" outlineLevel="1" x14ac:dyDescent="0.25">
      <c r="A317" s="87" t="s">
        <v>129</v>
      </c>
      <c r="B317" s="87">
        <v>2017</v>
      </c>
      <c r="C317" s="21" t="s">
        <v>431</v>
      </c>
      <c r="D317" s="21" t="s">
        <v>8</v>
      </c>
      <c r="F317" s="21" t="s">
        <v>432</v>
      </c>
      <c r="G317" s="22">
        <v>7285505</v>
      </c>
      <c r="H317" s="114"/>
    </row>
    <row r="318" spans="1:8" outlineLevel="1" x14ac:dyDescent="0.25">
      <c r="A318" s="87"/>
      <c r="B318" s="87"/>
      <c r="C318" s="21"/>
      <c r="D318" s="21"/>
      <c r="E318" s="9"/>
      <c r="F318" s="21"/>
      <c r="G318" s="161"/>
      <c r="H318" s="114"/>
    </row>
    <row r="319" spans="1:8" x14ac:dyDescent="0.25">
      <c r="A319" s="82" t="s">
        <v>334</v>
      </c>
      <c r="B319" s="82">
        <v>2017</v>
      </c>
      <c r="C319" s="74"/>
      <c r="D319" s="74"/>
      <c r="E319" s="73">
        <f>(1-(COUNTIF(D313:D318, "*Competitive Bid*"))/(COUNTA(D313:D318)))</f>
        <v>1</v>
      </c>
      <c r="F319" s="74"/>
      <c r="G319" s="160">
        <f>SUM(G313:G318)</f>
        <v>73292981</v>
      </c>
      <c r="H319" s="77">
        <f>(SUM(G313:G317))/G319</f>
        <v>1</v>
      </c>
    </row>
    <row r="320" spans="1:8" outlineLevel="1" x14ac:dyDescent="0.25">
      <c r="A320" s="87" t="s">
        <v>227</v>
      </c>
      <c r="B320" s="87">
        <v>2017</v>
      </c>
      <c r="C320" s="21" t="s">
        <v>385</v>
      </c>
      <c r="D320" s="21" t="s">
        <v>8</v>
      </c>
      <c r="E320" s="9"/>
      <c r="F320" s="86" t="s">
        <v>58</v>
      </c>
      <c r="G320" s="161">
        <v>15394218</v>
      </c>
      <c r="H320" s="114"/>
    </row>
    <row r="321" spans="1:9" outlineLevel="1" x14ac:dyDescent="0.25">
      <c r="A321" s="87" t="s">
        <v>227</v>
      </c>
      <c r="B321" s="87">
        <v>2017</v>
      </c>
      <c r="C321" s="21" t="s">
        <v>391</v>
      </c>
      <c r="D321" s="21" t="s">
        <v>19</v>
      </c>
      <c r="E321" s="9"/>
      <c r="F321" s="86" t="s">
        <v>392</v>
      </c>
      <c r="G321" s="161">
        <v>14713173</v>
      </c>
      <c r="H321" s="114"/>
    </row>
    <row r="322" spans="1:9" outlineLevel="1" x14ac:dyDescent="0.25">
      <c r="A322" s="87" t="s">
        <v>227</v>
      </c>
      <c r="B322" s="87">
        <v>2017</v>
      </c>
      <c r="C322" s="21" t="s">
        <v>228</v>
      </c>
      <c r="D322" s="21" t="s">
        <v>8</v>
      </c>
      <c r="E322" s="9"/>
      <c r="F322" s="21" t="s">
        <v>229</v>
      </c>
      <c r="G322" s="161">
        <v>13150000</v>
      </c>
      <c r="H322" s="114"/>
    </row>
    <row r="323" spans="1:9" outlineLevel="1" x14ac:dyDescent="0.25">
      <c r="A323" s="87" t="s">
        <v>227</v>
      </c>
      <c r="B323" s="87">
        <v>2017</v>
      </c>
      <c r="C323" s="21" t="s">
        <v>230</v>
      </c>
      <c r="D323" s="21" t="s">
        <v>8</v>
      </c>
      <c r="E323" s="9"/>
      <c r="F323" s="86" t="s">
        <v>49</v>
      </c>
      <c r="G323" s="161">
        <v>26416758</v>
      </c>
      <c r="H323" s="114"/>
    </row>
    <row r="324" spans="1:9" outlineLevel="1" x14ac:dyDescent="0.25">
      <c r="A324" s="87" t="s">
        <v>227</v>
      </c>
      <c r="B324" s="87">
        <v>2017</v>
      </c>
      <c r="C324" s="21" t="s">
        <v>231</v>
      </c>
      <c r="D324" s="21" t="s">
        <v>8</v>
      </c>
      <c r="E324" s="9"/>
      <c r="F324" s="86" t="s">
        <v>58</v>
      </c>
      <c r="G324" s="161">
        <v>20613000</v>
      </c>
      <c r="H324" s="114"/>
    </row>
    <row r="325" spans="1:9" outlineLevel="1" x14ac:dyDescent="0.25">
      <c r="A325" s="87"/>
      <c r="B325" s="87"/>
      <c r="C325" s="21"/>
      <c r="D325" s="21"/>
      <c r="E325" s="9"/>
      <c r="F325" s="86"/>
      <c r="G325" s="161"/>
      <c r="H325" s="114"/>
    </row>
    <row r="326" spans="1:9" x14ac:dyDescent="0.25">
      <c r="A326" s="82" t="s">
        <v>338</v>
      </c>
      <c r="B326" s="82">
        <v>2017</v>
      </c>
      <c r="C326" s="74"/>
      <c r="D326" s="74"/>
      <c r="E326" s="73">
        <f>(1-(COUNTIF(D320:D325, "*Competitive Bid*"))/(COUNTA(D320:D325)))</f>
        <v>0.8</v>
      </c>
      <c r="F326" s="74"/>
      <c r="G326" s="160">
        <f>SUM(G320:G325)</f>
        <v>90287149</v>
      </c>
      <c r="H326" s="77">
        <f>(G320+G322+G323+G324)/G326</f>
        <v>0.83704023038760478</v>
      </c>
    </row>
    <row r="327" spans="1:9" outlineLevel="1" x14ac:dyDescent="0.25">
      <c r="A327" s="87" t="s">
        <v>249</v>
      </c>
      <c r="B327" s="87">
        <v>2017</v>
      </c>
      <c r="C327" s="21" t="s">
        <v>268</v>
      </c>
      <c r="D327" s="21" t="s">
        <v>8</v>
      </c>
      <c r="E327" s="9"/>
      <c r="F327" s="21" t="s">
        <v>58</v>
      </c>
      <c r="G327" s="161">
        <v>61500000</v>
      </c>
    </row>
    <row r="328" spans="1:9" outlineLevel="1" x14ac:dyDescent="0.25">
      <c r="A328" s="144" t="s">
        <v>249</v>
      </c>
      <c r="B328" s="144">
        <v>2017</v>
      </c>
      <c r="C328" s="145" t="s">
        <v>416</v>
      </c>
      <c r="D328" s="145" t="s">
        <v>8</v>
      </c>
      <c r="E328" s="173"/>
      <c r="F328" s="145" t="s">
        <v>58</v>
      </c>
      <c r="G328" s="174">
        <v>5340786</v>
      </c>
    </row>
    <row r="329" spans="1:9" outlineLevel="1" x14ac:dyDescent="0.25">
      <c r="A329" s="144"/>
      <c r="B329" s="144"/>
      <c r="C329" s="145"/>
      <c r="D329" s="145"/>
      <c r="E329" s="173"/>
      <c r="F329" s="145"/>
      <c r="G329" s="174"/>
    </row>
    <row r="330" spans="1:9" x14ac:dyDescent="0.25">
      <c r="A330" s="82" t="s">
        <v>339</v>
      </c>
      <c r="B330" s="82">
        <v>2017</v>
      </c>
      <c r="C330" s="74"/>
      <c r="D330" s="74"/>
      <c r="E330" s="73">
        <f>(1-(COUNTIF(D327:D329, "*Competitive Bid*"))/(COUNTA(D327:D329)))</f>
        <v>1</v>
      </c>
      <c r="F330" s="74"/>
      <c r="G330" s="160">
        <f>SUM(G327:G329)</f>
        <v>66840786</v>
      </c>
      <c r="H330" s="77">
        <f>SUM(G327:G328)/G330</f>
        <v>1</v>
      </c>
    </row>
    <row r="331" spans="1:9" s="19" customFormat="1" outlineLevel="1" x14ac:dyDescent="0.25">
      <c r="A331" s="87" t="s">
        <v>269</v>
      </c>
      <c r="B331" s="87">
        <v>2017</v>
      </c>
      <c r="C331" s="21" t="s">
        <v>276</v>
      </c>
      <c r="D331" s="21" t="s">
        <v>8</v>
      </c>
      <c r="E331" s="9"/>
      <c r="F331" s="21" t="s">
        <v>11</v>
      </c>
      <c r="G331" s="161">
        <v>43275000</v>
      </c>
      <c r="H331" s="114"/>
    </row>
    <row r="332" spans="1:9" s="19" customFormat="1" outlineLevel="1" x14ac:dyDescent="0.25">
      <c r="A332" s="87"/>
      <c r="B332" s="87"/>
      <c r="C332" s="21"/>
      <c r="D332" s="21"/>
      <c r="E332" s="9"/>
      <c r="F332" s="21"/>
      <c r="G332" s="161"/>
      <c r="H332" s="114"/>
    </row>
    <row r="333" spans="1:9" x14ac:dyDescent="0.25">
      <c r="A333" s="82" t="s">
        <v>340</v>
      </c>
      <c r="B333" s="82">
        <v>2017</v>
      </c>
      <c r="C333" s="74"/>
      <c r="D333" s="74"/>
      <c r="E333" s="73">
        <f>(1-(COUNTIF(D331:D332, "*Competitive Bid*"))/(COUNTA(D331:D332)))</f>
        <v>1</v>
      </c>
      <c r="F333" s="74"/>
      <c r="G333" s="160">
        <f>SUM(G331:G332)</f>
        <v>43275000</v>
      </c>
      <c r="H333" s="77">
        <f>(SUM(G331))/G333</f>
        <v>1</v>
      </c>
    </row>
    <row r="334" spans="1:9" outlineLevel="1" x14ac:dyDescent="0.25">
      <c r="A334" s="87" t="s">
        <v>277</v>
      </c>
      <c r="B334" s="87">
        <v>2017</v>
      </c>
      <c r="C334" s="21" t="s">
        <v>292</v>
      </c>
      <c r="D334" s="21" t="s">
        <v>8</v>
      </c>
      <c r="E334" s="9"/>
      <c r="F334" s="21" t="s">
        <v>178</v>
      </c>
      <c r="G334" s="161">
        <v>118503000</v>
      </c>
    </row>
    <row r="335" spans="1:9" outlineLevel="1" x14ac:dyDescent="0.25">
      <c r="A335" s="87" t="s">
        <v>277</v>
      </c>
      <c r="B335" s="87">
        <v>2017</v>
      </c>
      <c r="C335" s="21" t="s">
        <v>293</v>
      </c>
      <c r="D335" s="21" t="s">
        <v>8</v>
      </c>
      <c r="E335" s="17"/>
      <c r="F335" s="21" t="s">
        <v>58</v>
      </c>
      <c r="G335" s="161">
        <v>22613000</v>
      </c>
      <c r="H335" s="54"/>
      <c r="I335" s="6"/>
    </row>
    <row r="336" spans="1:9" outlineLevel="1" x14ac:dyDescent="0.25">
      <c r="A336" s="87"/>
      <c r="B336" s="87"/>
      <c r="C336" s="21"/>
      <c r="D336" s="21"/>
      <c r="E336" s="17"/>
      <c r="F336" s="21"/>
      <c r="G336" s="161"/>
      <c r="H336" s="54"/>
      <c r="I336" s="6"/>
    </row>
    <row r="337" spans="1:8" ht="15.75" thickBot="1" x14ac:dyDescent="0.3">
      <c r="A337" s="81" t="s">
        <v>341</v>
      </c>
      <c r="B337" s="81">
        <v>2017</v>
      </c>
      <c r="C337" s="72"/>
      <c r="D337" s="72"/>
      <c r="E337" s="78">
        <f>(1-(COUNTIF(D334:D336, "*Competitive Bid*"))/(COUNTA(D334:D336)))</f>
        <v>1</v>
      </c>
      <c r="F337" s="72"/>
      <c r="G337" s="155">
        <f>SUM(G334:G336)</f>
        <v>141116000</v>
      </c>
      <c r="H337" s="78">
        <f>SUM(G334:G335)/G337</f>
        <v>1</v>
      </c>
    </row>
    <row r="338" spans="1:8" outlineLevel="1" x14ac:dyDescent="0.25">
      <c r="A338" s="144" t="s">
        <v>47</v>
      </c>
      <c r="B338" s="144">
        <v>2018</v>
      </c>
      <c r="C338" s="145" t="s">
        <v>394</v>
      </c>
      <c r="D338" s="145" t="s">
        <v>33</v>
      </c>
      <c r="E338" s="140"/>
      <c r="F338" s="145" t="s">
        <v>75</v>
      </c>
      <c r="G338" s="170">
        <v>12075000</v>
      </c>
      <c r="H338" s="140"/>
    </row>
    <row r="339" spans="1:8" outlineLevel="1" x14ac:dyDescent="0.25">
      <c r="A339" s="144" t="s">
        <v>47</v>
      </c>
      <c r="B339" s="144">
        <v>2018</v>
      </c>
      <c r="C339" s="145" t="s">
        <v>395</v>
      </c>
      <c r="D339" s="145" t="s">
        <v>19</v>
      </c>
      <c r="E339" s="140"/>
      <c r="F339" s="145" t="s">
        <v>61</v>
      </c>
      <c r="G339" s="170">
        <v>6164000</v>
      </c>
      <c r="H339" s="140"/>
    </row>
    <row r="340" spans="1:8" outlineLevel="1" x14ac:dyDescent="0.25">
      <c r="A340" s="144" t="s">
        <v>47</v>
      </c>
      <c r="B340" s="144">
        <v>2018</v>
      </c>
      <c r="C340" s="145" t="s">
        <v>396</v>
      </c>
      <c r="D340" s="145" t="s">
        <v>8</v>
      </c>
      <c r="E340" s="140"/>
      <c r="F340" s="145" t="s">
        <v>69</v>
      </c>
      <c r="G340" s="170">
        <v>36010447</v>
      </c>
      <c r="H340" s="140"/>
    </row>
    <row r="341" spans="1:8" outlineLevel="1" x14ac:dyDescent="0.25">
      <c r="A341" s="144"/>
      <c r="B341" s="144"/>
      <c r="C341" s="145"/>
      <c r="D341" s="145"/>
      <c r="E341" s="140"/>
      <c r="F341" s="145"/>
      <c r="G341" s="170"/>
      <c r="H341" s="140"/>
    </row>
    <row r="342" spans="1:8" x14ac:dyDescent="0.25">
      <c r="A342" s="82" t="s">
        <v>326</v>
      </c>
      <c r="B342" s="82">
        <v>2018</v>
      </c>
      <c r="C342" s="74"/>
      <c r="D342" s="74"/>
      <c r="E342" s="108">
        <f>(1-(COUNTIF(D338:D341, "*Competitive Bid*"))/(COUNTA(D338:D341)))</f>
        <v>0.66666666666666674</v>
      </c>
      <c r="F342" s="74"/>
      <c r="G342" s="157">
        <f>SUM(G338:G341)</f>
        <v>54249447</v>
      </c>
      <c r="H342" s="108">
        <f>(G340+G338)/G342</f>
        <v>0.88637672195994921</v>
      </c>
    </row>
    <row r="343" spans="1:8" outlineLevel="1" x14ac:dyDescent="0.25">
      <c r="A343" s="144" t="s">
        <v>73</v>
      </c>
      <c r="B343" s="144">
        <v>2018</v>
      </c>
      <c r="C343" s="145" t="s">
        <v>422</v>
      </c>
      <c r="D343" s="145" t="s">
        <v>19</v>
      </c>
      <c r="E343" s="140"/>
      <c r="F343" s="145" t="s">
        <v>424</v>
      </c>
      <c r="G343" s="170">
        <v>7858846</v>
      </c>
      <c r="H343" s="109"/>
    </row>
    <row r="344" spans="1:8" outlineLevel="1" x14ac:dyDescent="0.25">
      <c r="A344" s="144" t="s">
        <v>73</v>
      </c>
      <c r="B344" s="144">
        <v>2018</v>
      </c>
      <c r="C344" s="145" t="s">
        <v>423</v>
      </c>
      <c r="D344" s="145" t="s">
        <v>19</v>
      </c>
      <c r="E344" s="140"/>
      <c r="F344" s="145" t="s">
        <v>424</v>
      </c>
      <c r="G344" s="170">
        <v>16279217</v>
      </c>
      <c r="H344" s="109"/>
    </row>
    <row r="345" spans="1:8" outlineLevel="1" x14ac:dyDescent="0.25">
      <c r="A345" s="92"/>
      <c r="B345" s="92"/>
      <c r="C345" s="180"/>
      <c r="D345" s="180"/>
      <c r="E345" s="109"/>
      <c r="F345" s="180"/>
      <c r="G345" s="182"/>
      <c r="H345" s="109"/>
    </row>
    <row r="346" spans="1:8" x14ac:dyDescent="0.25">
      <c r="A346" s="82" t="s">
        <v>327</v>
      </c>
      <c r="B346" s="82">
        <v>2018</v>
      </c>
      <c r="C346" s="74"/>
      <c r="D346" s="74"/>
      <c r="E346" s="108">
        <f>(1-(COUNTIF(D343:D345, "*Competitive Bid*"))/(COUNTA(D343:D345)))</f>
        <v>0</v>
      </c>
      <c r="F346" s="74"/>
      <c r="G346" s="157">
        <f>SUM(G343:G345)</f>
        <v>24138063</v>
      </c>
      <c r="H346" s="108">
        <f>(0)/G346</f>
        <v>0</v>
      </c>
    </row>
    <row r="347" spans="1:8" outlineLevel="1" x14ac:dyDescent="0.25">
      <c r="A347" s="144" t="s">
        <v>129</v>
      </c>
      <c r="B347" s="144">
        <v>2018</v>
      </c>
      <c r="C347" s="21" t="s">
        <v>433</v>
      </c>
      <c r="D347" s="21" t="s">
        <v>8</v>
      </c>
      <c r="F347" s="21" t="s">
        <v>58</v>
      </c>
      <c r="G347" s="22">
        <v>10513253</v>
      </c>
      <c r="H347" s="140"/>
    </row>
    <row r="348" spans="1:8" outlineLevel="1" x14ac:dyDescent="0.25">
      <c r="A348" s="144" t="s">
        <v>129</v>
      </c>
      <c r="B348" s="144">
        <v>2018</v>
      </c>
      <c r="C348" s="21" t="s">
        <v>434</v>
      </c>
      <c r="D348" s="21" t="s">
        <v>8</v>
      </c>
      <c r="F348" s="21" t="s">
        <v>424</v>
      </c>
      <c r="G348" s="22">
        <v>19654061</v>
      </c>
      <c r="H348" s="140"/>
    </row>
    <row r="349" spans="1:8" outlineLevel="1" x14ac:dyDescent="0.25">
      <c r="A349" s="144"/>
      <c r="B349" s="144"/>
      <c r="C349" s="145"/>
      <c r="D349" s="145"/>
      <c r="E349" s="140"/>
      <c r="F349" s="145"/>
      <c r="G349" s="170"/>
      <c r="H349" s="140"/>
    </row>
    <row r="350" spans="1:8" x14ac:dyDescent="0.25">
      <c r="A350" s="82" t="s">
        <v>334</v>
      </c>
      <c r="B350" s="82">
        <v>2018</v>
      </c>
      <c r="C350" s="74"/>
      <c r="D350" s="74"/>
      <c r="E350" s="108">
        <f>(1-(COUNTIF(D347:D349, "*Competitive Bid*"))/(COUNTA(D347:D349)))</f>
        <v>1</v>
      </c>
      <c r="F350" s="74"/>
      <c r="G350" s="157">
        <f>SUM(G347:G349)</f>
        <v>30167314</v>
      </c>
      <c r="H350" s="108">
        <f>SUM(G347:G348)/G350</f>
        <v>1</v>
      </c>
    </row>
    <row r="351" spans="1:8" outlineLevel="1" x14ac:dyDescent="0.25">
      <c r="A351" s="144" t="s">
        <v>227</v>
      </c>
      <c r="B351" s="144">
        <v>2018</v>
      </c>
      <c r="C351" s="145" t="s">
        <v>386</v>
      </c>
      <c r="D351" s="145" t="s">
        <v>19</v>
      </c>
      <c r="E351" s="140"/>
      <c r="F351" s="145" t="s">
        <v>239</v>
      </c>
      <c r="G351" s="170">
        <v>18702000</v>
      </c>
      <c r="H351" s="140"/>
    </row>
    <row r="352" spans="1:8" outlineLevel="1" x14ac:dyDescent="0.25">
      <c r="A352" s="144" t="s">
        <v>227</v>
      </c>
      <c r="B352" s="144">
        <v>2018</v>
      </c>
      <c r="C352" s="145" t="s">
        <v>390</v>
      </c>
      <c r="D352" s="145" t="s">
        <v>8</v>
      </c>
      <c r="E352" s="140"/>
      <c r="F352" s="145" t="s">
        <v>75</v>
      </c>
      <c r="G352" s="170">
        <v>23058000</v>
      </c>
      <c r="H352" s="140"/>
    </row>
    <row r="353" spans="1:8" s="19" customFormat="1" outlineLevel="1" x14ac:dyDescent="0.25">
      <c r="A353" s="144" t="s">
        <v>227</v>
      </c>
      <c r="B353" s="144">
        <v>2018</v>
      </c>
      <c r="C353" s="145" t="s">
        <v>387</v>
      </c>
      <c r="D353" s="145" t="s">
        <v>19</v>
      </c>
      <c r="E353" s="140"/>
      <c r="F353" s="145" t="s">
        <v>388</v>
      </c>
      <c r="G353" s="170">
        <v>12136212</v>
      </c>
      <c r="H353" s="140"/>
    </row>
    <row r="354" spans="1:8" s="19" customFormat="1" outlineLevel="1" x14ac:dyDescent="0.25">
      <c r="A354" s="144"/>
      <c r="B354" s="144"/>
      <c r="C354" s="145"/>
      <c r="D354" s="145"/>
      <c r="E354" s="140"/>
      <c r="F354" s="145"/>
      <c r="G354" s="170"/>
      <c r="H354" s="140"/>
    </row>
    <row r="355" spans="1:8" x14ac:dyDescent="0.25">
      <c r="A355" s="82" t="s">
        <v>338</v>
      </c>
      <c r="B355" s="82">
        <v>2018</v>
      </c>
      <c r="C355" s="74"/>
      <c r="D355" s="74"/>
      <c r="E355" s="108">
        <f>(1-(COUNTIF(D351:D354, "*Competitive Bid*"))/(COUNTA(D351:D354)))</f>
        <v>0.33333333333333337</v>
      </c>
      <c r="F355" s="74"/>
      <c r="G355" s="157">
        <f>SUM(G351:G354)</f>
        <v>53896212</v>
      </c>
      <c r="H355" s="108">
        <f>(G352)/G355</f>
        <v>0.42782227441141873</v>
      </c>
    </row>
    <row r="356" spans="1:8" outlineLevel="1" x14ac:dyDescent="0.25">
      <c r="A356" s="52" t="s">
        <v>269</v>
      </c>
      <c r="B356" s="52">
        <v>2018</v>
      </c>
      <c r="C356" t="s">
        <v>363</v>
      </c>
      <c r="D356" t="s">
        <v>8</v>
      </c>
      <c r="F356" s="43" t="s">
        <v>11</v>
      </c>
      <c r="G356" s="152">
        <v>44188000</v>
      </c>
      <c r="H356" s="109"/>
    </row>
    <row r="357" spans="1:8" outlineLevel="1" x14ac:dyDescent="0.25">
      <c r="F357" s="43"/>
      <c r="H357" s="109"/>
    </row>
    <row r="358" spans="1:8" x14ac:dyDescent="0.25">
      <c r="A358" s="80" t="s">
        <v>340</v>
      </c>
      <c r="B358" s="80">
        <v>2018</v>
      </c>
      <c r="C358" s="50"/>
      <c r="D358" s="50"/>
      <c r="E358" s="77">
        <f>(1-(COUNTIF(D356:D357, "*Competitive Bid*"))/(COUNTA(D356:D357)))</f>
        <v>1</v>
      </c>
      <c r="F358" s="50"/>
      <c r="G358" s="153">
        <f>SUM(G356:G357)</f>
        <v>44188000</v>
      </c>
      <c r="H358" s="77">
        <f>G356/G358</f>
        <v>1</v>
      </c>
    </row>
    <row r="359" spans="1:8" outlineLevel="1" x14ac:dyDescent="0.25">
      <c r="A359" s="52" t="s">
        <v>23</v>
      </c>
      <c r="B359" s="52">
        <v>2018</v>
      </c>
      <c r="C359" s="19" t="s">
        <v>378</v>
      </c>
      <c r="D359" s="19" t="s">
        <v>8</v>
      </c>
      <c r="E359" s="53"/>
      <c r="F359" s="19" t="s">
        <v>11</v>
      </c>
      <c r="G359" s="20">
        <v>45552547</v>
      </c>
    </row>
    <row r="360" spans="1:8" outlineLevel="1" x14ac:dyDescent="0.25">
      <c r="C360" s="19"/>
      <c r="D360" s="19"/>
      <c r="E360" s="53"/>
      <c r="F360" s="19"/>
      <c r="G360" s="20"/>
    </row>
    <row r="361" spans="1:8" x14ac:dyDescent="0.25">
      <c r="A361" s="80" t="s">
        <v>323</v>
      </c>
      <c r="B361" s="80">
        <v>2018</v>
      </c>
      <c r="C361" s="50"/>
      <c r="D361" s="50"/>
      <c r="E361" s="77">
        <f>(1-(COUNTIF(D359:D360, "*Competitive Bid*"))/(COUNTA(D359:D360)))</f>
        <v>1</v>
      </c>
      <c r="F361" s="50"/>
      <c r="G361" s="153">
        <f>SUM(G359:G360)</f>
        <v>45552547</v>
      </c>
      <c r="H361" s="77">
        <f>G359/G361</f>
        <v>1</v>
      </c>
    </row>
    <row r="362" spans="1:8" s="19" customFormat="1" outlineLevel="1" x14ac:dyDescent="0.25">
      <c r="A362" s="52" t="s">
        <v>104</v>
      </c>
      <c r="B362" s="52">
        <v>2018</v>
      </c>
      <c r="C362" t="s">
        <v>371</v>
      </c>
      <c r="D362" t="s">
        <v>8</v>
      </c>
      <c r="E362" s="52"/>
      <c r="F362" s="43" t="s">
        <v>75</v>
      </c>
      <c r="G362" s="152">
        <v>22708530</v>
      </c>
      <c r="H362" s="52"/>
    </row>
    <row r="363" spans="1:8" s="19" customFormat="1" outlineLevel="1" x14ac:dyDescent="0.25">
      <c r="A363" s="52"/>
      <c r="B363" s="52"/>
      <c r="C363"/>
      <c r="D363"/>
      <c r="E363" s="52"/>
      <c r="F363" s="43"/>
      <c r="G363" s="152"/>
      <c r="H363" s="52"/>
    </row>
    <row r="364" spans="1:8" x14ac:dyDescent="0.25">
      <c r="A364" s="82" t="s">
        <v>332</v>
      </c>
      <c r="B364" s="82">
        <v>2018</v>
      </c>
      <c r="C364" s="74"/>
      <c r="D364" s="74"/>
      <c r="E364" s="108">
        <f>(1-(COUNTIF(D362:D363, "*Competitive Bid*"))/(COUNTA(D362:D363)))</f>
        <v>1</v>
      </c>
      <c r="F364" s="169"/>
      <c r="G364" s="157">
        <f>SUM(G362:G363)</f>
        <v>22708530</v>
      </c>
      <c r="H364" s="108">
        <f>G362/G364</f>
        <v>1</v>
      </c>
    </row>
    <row r="365" spans="1:8" outlineLevel="1" x14ac:dyDescent="0.25">
      <c r="A365" s="144" t="s">
        <v>189</v>
      </c>
      <c r="B365" s="144">
        <v>2018</v>
      </c>
      <c r="C365" s="145" t="s">
        <v>384</v>
      </c>
      <c r="D365" s="145" t="s">
        <v>8</v>
      </c>
      <c r="E365" s="140"/>
      <c r="F365" s="142" t="s">
        <v>75</v>
      </c>
      <c r="G365" s="170">
        <v>7336670</v>
      </c>
      <c r="H365" s="140"/>
    </row>
    <row r="366" spans="1:8" outlineLevel="1" x14ac:dyDescent="0.25">
      <c r="A366" s="144"/>
      <c r="B366" s="144"/>
      <c r="C366" s="145"/>
      <c r="D366" s="145"/>
      <c r="E366" s="140"/>
      <c r="F366" s="142"/>
      <c r="G366" s="170"/>
      <c r="H366" s="140"/>
    </row>
    <row r="367" spans="1:8" x14ac:dyDescent="0.25">
      <c r="A367" s="82" t="s">
        <v>335</v>
      </c>
      <c r="B367" s="82">
        <v>2018</v>
      </c>
      <c r="C367" s="74"/>
      <c r="D367" s="74"/>
      <c r="E367" s="108">
        <f>(1-(COUNTIF(D365:D366, "*Competitive Bid*"))/(COUNTA(D365:D366)))</f>
        <v>1</v>
      </c>
      <c r="F367" s="169"/>
      <c r="G367" s="157">
        <f>SUM(G365:G366)</f>
        <v>7336670</v>
      </c>
      <c r="H367" s="108">
        <f>G365/G367</f>
        <v>1</v>
      </c>
    </row>
    <row r="368" spans="1:8" outlineLevel="1" x14ac:dyDescent="0.25">
      <c r="A368" s="144" t="s">
        <v>277</v>
      </c>
      <c r="B368" s="144">
        <v>2018</v>
      </c>
      <c r="C368" s="145" t="s">
        <v>403</v>
      </c>
      <c r="D368" s="145" t="s">
        <v>8</v>
      </c>
      <c r="E368" s="140"/>
      <c r="F368" s="142"/>
      <c r="G368" s="170">
        <v>5821504</v>
      </c>
      <c r="H368" s="140"/>
    </row>
    <row r="369" spans="1:8" outlineLevel="1" x14ac:dyDescent="0.25">
      <c r="A369" s="144"/>
      <c r="B369" s="144"/>
      <c r="C369" s="145"/>
      <c r="D369" s="145"/>
      <c r="E369" s="140"/>
      <c r="F369" s="142"/>
      <c r="G369" s="170"/>
      <c r="H369" s="140"/>
    </row>
    <row r="370" spans="1:8" ht="15.75" thickBot="1" x14ac:dyDescent="0.3">
      <c r="A370" s="81" t="s">
        <v>341</v>
      </c>
      <c r="B370" s="81">
        <v>2018</v>
      </c>
      <c r="C370" s="72"/>
      <c r="D370" s="72"/>
      <c r="E370" s="78">
        <f>(1-(COUNTIF(D368:D369, "*Competitive Bid*"))/(COUNTA(D368:D369)))</f>
        <v>1</v>
      </c>
      <c r="F370" s="172"/>
      <c r="G370" s="155">
        <f>SUM(G368:G369)</f>
        <v>5821504</v>
      </c>
      <c r="H370" s="78">
        <f>SUM(G368)/G370</f>
        <v>1</v>
      </c>
    </row>
    <row r="371" spans="1:8" outlineLevel="1" x14ac:dyDescent="0.25">
      <c r="A371" s="144" t="s">
        <v>23</v>
      </c>
      <c r="B371" s="144">
        <v>2019</v>
      </c>
      <c r="C371" s="19" t="s">
        <v>377</v>
      </c>
      <c r="D371" s="19" t="s">
        <v>8</v>
      </c>
      <c r="F371" s="19" t="s">
        <v>380</v>
      </c>
      <c r="G371" s="20">
        <v>11729047</v>
      </c>
      <c r="H371" s="140"/>
    </row>
    <row r="372" spans="1:8" outlineLevel="1" x14ac:dyDescent="0.25">
      <c r="A372" s="144"/>
      <c r="B372" s="144"/>
      <c r="C372" s="19"/>
      <c r="D372" s="19"/>
      <c r="F372" s="19"/>
      <c r="G372" s="20"/>
      <c r="H372" s="140"/>
    </row>
    <row r="373" spans="1:8" x14ac:dyDescent="0.25">
      <c r="A373" s="82" t="s">
        <v>323</v>
      </c>
      <c r="B373" s="82">
        <v>2019</v>
      </c>
      <c r="C373" s="74"/>
      <c r="D373" s="74"/>
      <c r="E373" s="108">
        <f>(1-(COUNTIF(D371:D372, "*Competitive Bid*"))/(COUNTA(D371:D372)))</f>
        <v>1</v>
      </c>
      <c r="F373" s="169"/>
      <c r="G373" s="157">
        <f>SUM(G371:G372)</f>
        <v>11729047</v>
      </c>
      <c r="H373" s="108">
        <f>G371/G373</f>
        <v>1</v>
      </c>
    </row>
    <row r="374" spans="1:8" outlineLevel="1" x14ac:dyDescent="0.25">
      <c r="A374" s="144" t="s">
        <v>249</v>
      </c>
      <c r="B374" s="144">
        <v>2019</v>
      </c>
      <c r="C374" s="145" t="s">
        <v>417</v>
      </c>
      <c r="D374" s="145" t="s">
        <v>19</v>
      </c>
      <c r="E374" s="140"/>
      <c r="F374" s="142" t="s">
        <v>266</v>
      </c>
      <c r="G374" s="170">
        <v>5699751</v>
      </c>
      <c r="H374" s="140"/>
    </row>
    <row r="375" spans="1:8" outlineLevel="1" x14ac:dyDescent="0.25">
      <c r="A375" s="144" t="s">
        <v>249</v>
      </c>
      <c r="B375" s="144">
        <v>2019</v>
      </c>
      <c r="C375" s="145" t="s">
        <v>419</v>
      </c>
      <c r="D375" s="145" t="s">
        <v>19</v>
      </c>
      <c r="E375" s="140"/>
      <c r="F375" s="142" t="s">
        <v>420</v>
      </c>
      <c r="G375" s="170">
        <v>5550474</v>
      </c>
      <c r="H375" s="140"/>
    </row>
    <row r="376" spans="1:8" outlineLevel="1" x14ac:dyDescent="0.25">
      <c r="A376" s="144"/>
      <c r="B376" s="144"/>
      <c r="C376" s="145"/>
      <c r="D376" s="145"/>
      <c r="E376" s="140"/>
      <c r="F376" s="142"/>
      <c r="G376" s="170"/>
      <c r="H376" s="140"/>
    </row>
    <row r="377" spans="1:8" x14ac:dyDescent="0.25">
      <c r="A377" s="82" t="s">
        <v>339</v>
      </c>
      <c r="B377" s="82">
        <v>2019</v>
      </c>
      <c r="C377" s="74"/>
      <c r="D377" s="74"/>
      <c r="E377" s="108">
        <f>(1-(COUNTIF(D374:D376, "*Competitive Bid*"))/(COUNTA(D374:D376)))</f>
        <v>0</v>
      </c>
      <c r="F377" s="169"/>
      <c r="G377" s="157">
        <f>SUM(G374:G376)</f>
        <v>11250225</v>
      </c>
      <c r="H377" s="108">
        <f>(0)/G377</f>
        <v>0</v>
      </c>
    </row>
    <row r="378" spans="1:8" outlineLevel="1" x14ac:dyDescent="0.25">
      <c r="A378" s="144" t="s">
        <v>119</v>
      </c>
      <c r="B378" s="144">
        <v>2019</v>
      </c>
      <c r="C378" s="145" t="s">
        <v>398</v>
      </c>
      <c r="D378" s="145" t="s">
        <v>8</v>
      </c>
      <c r="E378" s="140"/>
      <c r="F378" s="142" t="s">
        <v>58</v>
      </c>
      <c r="G378" s="170">
        <v>19311522</v>
      </c>
      <c r="H378" s="140"/>
    </row>
    <row r="379" spans="1:8" outlineLevel="1" x14ac:dyDescent="0.25">
      <c r="A379" s="144"/>
      <c r="B379" s="144"/>
      <c r="C379" s="145"/>
      <c r="D379" s="145"/>
      <c r="E379" s="140"/>
      <c r="F379" s="142"/>
      <c r="G379" s="170"/>
      <c r="H379" s="140"/>
    </row>
    <row r="380" spans="1:8" x14ac:dyDescent="0.25">
      <c r="A380" s="82" t="s">
        <v>333</v>
      </c>
      <c r="B380" s="82">
        <v>2019</v>
      </c>
      <c r="C380" s="74"/>
      <c r="D380" s="74"/>
      <c r="E380" s="108">
        <f>(1-(COUNTIF(D378:D379, "*Competitive Bid*"))/(COUNTA(D378:D379)))</f>
        <v>1</v>
      </c>
      <c r="F380" s="169"/>
      <c r="G380" s="157">
        <f>SUM(G378:G379)</f>
        <v>19311522</v>
      </c>
      <c r="H380" s="108">
        <f>(SUM(G378)/G380)</f>
        <v>1</v>
      </c>
    </row>
    <row r="381" spans="1:8" outlineLevel="1" x14ac:dyDescent="0.25">
      <c r="A381" s="144" t="s">
        <v>129</v>
      </c>
      <c r="B381" s="144">
        <v>2019</v>
      </c>
      <c r="C381" s="21" t="s">
        <v>435</v>
      </c>
      <c r="D381" s="21" t="s">
        <v>19</v>
      </c>
      <c r="F381" s="21" t="s">
        <v>143</v>
      </c>
      <c r="G381" s="22">
        <v>11871111</v>
      </c>
      <c r="H381" s="140"/>
    </row>
    <row r="382" spans="1:8" outlineLevel="1" x14ac:dyDescent="0.25">
      <c r="A382" s="144" t="s">
        <v>129</v>
      </c>
      <c r="B382" s="144">
        <v>2019</v>
      </c>
      <c r="C382" s="21" t="s">
        <v>436</v>
      </c>
      <c r="D382" s="21" t="s">
        <v>19</v>
      </c>
      <c r="F382" s="21" t="s">
        <v>445</v>
      </c>
      <c r="G382" s="22">
        <v>5489874</v>
      </c>
      <c r="H382" s="140"/>
    </row>
    <row r="383" spans="1:8" outlineLevel="1" x14ac:dyDescent="0.25">
      <c r="A383" s="144"/>
      <c r="B383" s="144"/>
      <c r="C383" s="145"/>
      <c r="D383" s="145"/>
      <c r="E383" s="140"/>
      <c r="F383" s="142"/>
      <c r="G383" s="170"/>
      <c r="H383" s="140"/>
    </row>
    <row r="384" spans="1:8" x14ac:dyDescent="0.25">
      <c r="A384" s="82" t="s">
        <v>334</v>
      </c>
      <c r="B384" s="82">
        <v>2019</v>
      </c>
      <c r="C384" s="74"/>
      <c r="D384" s="74"/>
      <c r="E384" s="108">
        <f>(1-(COUNTIF(D381:D383, "*Competitive Bid*"))/(COUNTA(D381:D383)))</f>
        <v>0</v>
      </c>
      <c r="F384" s="169"/>
      <c r="G384" s="157">
        <f>SUM(G381:G383)</f>
        <v>17360985</v>
      </c>
      <c r="H384" s="108">
        <f>(0)/G384</f>
        <v>0</v>
      </c>
    </row>
    <row r="385" spans="1:8" outlineLevel="1" x14ac:dyDescent="0.25">
      <c r="A385" s="144" t="s">
        <v>277</v>
      </c>
      <c r="B385" s="144">
        <v>2019</v>
      </c>
      <c r="C385" s="145" t="s">
        <v>408</v>
      </c>
      <c r="D385" s="145" t="s">
        <v>8</v>
      </c>
      <c r="E385" s="140"/>
      <c r="F385" s="142" t="s">
        <v>58</v>
      </c>
      <c r="G385" s="170">
        <v>15775385</v>
      </c>
      <c r="H385" s="140"/>
    </row>
    <row r="386" spans="1:8" outlineLevel="1" x14ac:dyDescent="0.25">
      <c r="A386" s="144"/>
      <c r="B386" s="144"/>
      <c r="C386" s="145"/>
      <c r="D386" s="145"/>
      <c r="E386" s="140"/>
      <c r="F386" s="142"/>
      <c r="G386" s="170"/>
      <c r="H386" s="140"/>
    </row>
    <row r="387" spans="1:8" ht="15.75" thickBot="1" x14ac:dyDescent="0.3">
      <c r="A387" s="81" t="s">
        <v>341</v>
      </c>
      <c r="B387" s="81">
        <v>2019</v>
      </c>
      <c r="C387" s="72"/>
      <c r="D387" s="72"/>
      <c r="E387" s="78">
        <f>(1-(COUNTIF(D385:D386, "*Competitive Bid*"))/(COUNTA(D385:D386)))</f>
        <v>1</v>
      </c>
      <c r="F387" s="172"/>
      <c r="G387" s="155">
        <f>SUM(G385:G386)</f>
        <v>15775385</v>
      </c>
      <c r="H387" s="78">
        <f>SUM(G385)/G387</f>
        <v>1</v>
      </c>
    </row>
    <row r="388" spans="1:8" outlineLevel="1" x14ac:dyDescent="0.25">
      <c r="A388" s="144" t="s">
        <v>73</v>
      </c>
      <c r="B388" s="144">
        <v>2020</v>
      </c>
      <c r="C388" s="145" t="s">
        <v>425</v>
      </c>
      <c r="D388" s="145" t="s">
        <v>19</v>
      </c>
      <c r="E388" s="140"/>
      <c r="F388" s="21" t="s">
        <v>426</v>
      </c>
      <c r="G388" s="170">
        <v>5192800</v>
      </c>
      <c r="H388" s="109"/>
    </row>
    <row r="389" spans="1:8" outlineLevel="1" x14ac:dyDescent="0.25">
      <c r="A389" s="92"/>
      <c r="B389" s="92"/>
      <c r="C389" s="180"/>
      <c r="D389" s="180"/>
      <c r="E389" s="109"/>
      <c r="F389" s="181"/>
      <c r="G389" s="182"/>
      <c r="H389" s="109"/>
    </row>
    <row r="390" spans="1:8" x14ac:dyDescent="0.25">
      <c r="A390" s="82" t="s">
        <v>327</v>
      </c>
      <c r="B390" s="82">
        <v>2020</v>
      </c>
      <c r="C390" s="74"/>
      <c r="D390" s="74"/>
      <c r="E390" s="108">
        <f>(1-(COUNTIF(D388:D389, "*Competitive Bid*"))/(COUNTA(D388:D389)))</f>
        <v>0</v>
      </c>
      <c r="F390" s="169"/>
      <c r="G390" s="157">
        <f>SUM(G388:G389)</f>
        <v>5192800</v>
      </c>
      <c r="H390" s="108">
        <f>(0)/G390</f>
        <v>0</v>
      </c>
    </row>
    <row r="391" spans="1:8" outlineLevel="1" x14ac:dyDescent="0.25">
      <c r="A391" s="144" t="s">
        <v>249</v>
      </c>
      <c r="B391" s="144">
        <v>2020</v>
      </c>
      <c r="C391" s="145" t="s">
        <v>418</v>
      </c>
      <c r="D391" s="145" t="s">
        <v>8</v>
      </c>
      <c r="E391" s="140"/>
      <c r="F391" s="21" t="s">
        <v>229</v>
      </c>
      <c r="G391" s="170">
        <v>94248688</v>
      </c>
      <c r="H391" s="140"/>
    </row>
    <row r="392" spans="1:8" outlineLevel="1" x14ac:dyDescent="0.25">
      <c r="A392" s="144"/>
      <c r="B392" s="144"/>
      <c r="C392" s="145"/>
      <c r="D392" s="145"/>
      <c r="E392" s="140"/>
      <c r="F392" s="142"/>
      <c r="G392" s="170"/>
      <c r="H392" s="140"/>
    </row>
    <row r="393" spans="1:8" x14ac:dyDescent="0.25">
      <c r="A393" s="82" t="s">
        <v>339</v>
      </c>
      <c r="B393" s="82">
        <v>2020</v>
      </c>
      <c r="C393" s="74"/>
      <c r="D393" s="74"/>
      <c r="E393" s="108">
        <f>(1-(COUNTIF(D391:D392, "*Competitive Bid*"))/(COUNTA(D391:D392)))</f>
        <v>1</v>
      </c>
      <c r="F393" s="169"/>
      <c r="G393" s="157">
        <f>SUM(G391:G392)</f>
        <v>94248688</v>
      </c>
      <c r="H393" s="108">
        <f>SUM(G391)/G393</f>
        <v>1</v>
      </c>
    </row>
    <row r="394" spans="1:8" outlineLevel="1" x14ac:dyDescent="0.25">
      <c r="A394" s="144" t="s">
        <v>119</v>
      </c>
      <c r="B394" s="144">
        <v>2020</v>
      </c>
      <c r="C394" s="145" t="s">
        <v>399</v>
      </c>
      <c r="D394" s="145" t="s">
        <v>8</v>
      </c>
      <c r="E394" s="140"/>
      <c r="F394" s="142" t="s">
        <v>11</v>
      </c>
      <c r="G394" s="170">
        <v>23201260</v>
      </c>
      <c r="H394" s="140"/>
    </row>
    <row r="395" spans="1:8" outlineLevel="1" x14ac:dyDescent="0.25">
      <c r="A395" s="144" t="s">
        <v>119</v>
      </c>
      <c r="B395" s="144">
        <v>2020</v>
      </c>
      <c r="C395" s="145" t="s">
        <v>401</v>
      </c>
      <c r="D395" s="145" t="s">
        <v>8</v>
      </c>
      <c r="E395" s="140"/>
      <c r="F395" s="142" t="s">
        <v>58</v>
      </c>
      <c r="G395" s="170">
        <v>17901615</v>
      </c>
      <c r="H395" s="140"/>
    </row>
    <row r="396" spans="1:8" outlineLevel="1" x14ac:dyDescent="0.25">
      <c r="A396" s="144"/>
      <c r="B396" s="144"/>
      <c r="C396" s="145"/>
      <c r="D396" s="145"/>
      <c r="E396" s="140"/>
      <c r="F396" s="142"/>
      <c r="G396" s="170"/>
      <c r="H396" s="140"/>
    </row>
    <row r="397" spans="1:8" x14ac:dyDescent="0.25">
      <c r="A397" s="82" t="s">
        <v>333</v>
      </c>
      <c r="B397" s="82">
        <v>2020</v>
      </c>
      <c r="C397" s="74"/>
      <c r="D397" s="74"/>
      <c r="E397" s="108">
        <f>(1-(COUNTIF(D394:D396, "*Competitive Bid*"))/(COUNTA(D394:D396)))</f>
        <v>1</v>
      </c>
      <c r="F397" s="169"/>
      <c r="G397" s="157">
        <f>SUM(G394:G396)</f>
        <v>41102875</v>
      </c>
      <c r="H397" s="108">
        <f>(SUM(G394:G395)/G397)</f>
        <v>1</v>
      </c>
    </row>
    <row r="398" spans="1:8" outlineLevel="1" x14ac:dyDescent="0.25">
      <c r="A398" s="144" t="s">
        <v>277</v>
      </c>
      <c r="B398" s="144">
        <v>2020</v>
      </c>
      <c r="C398" s="145" t="s">
        <v>402</v>
      </c>
      <c r="D398" s="145" t="s">
        <v>8</v>
      </c>
      <c r="E398" s="140"/>
      <c r="F398" s="142" t="s">
        <v>11</v>
      </c>
      <c r="G398" s="170">
        <v>122718484</v>
      </c>
      <c r="H398" s="140"/>
    </row>
    <row r="399" spans="1:8" outlineLevel="1" x14ac:dyDescent="0.25">
      <c r="A399" s="144" t="s">
        <v>277</v>
      </c>
      <c r="B399" s="144">
        <v>2020</v>
      </c>
      <c r="C399" s="145" t="s">
        <v>404</v>
      </c>
      <c r="D399" s="145" t="s">
        <v>8</v>
      </c>
      <c r="E399" s="140"/>
      <c r="F399" s="142" t="s">
        <v>58</v>
      </c>
      <c r="G399" s="170">
        <v>33738315</v>
      </c>
      <c r="H399" s="140"/>
    </row>
    <row r="400" spans="1:8" outlineLevel="1" x14ac:dyDescent="0.25">
      <c r="A400" s="144"/>
      <c r="B400" s="144"/>
      <c r="C400" s="145"/>
      <c r="D400" s="145"/>
      <c r="E400" s="140"/>
      <c r="F400" s="142"/>
      <c r="G400" s="170"/>
      <c r="H400" s="140"/>
    </row>
    <row r="401" spans="1:8" ht="15.75" thickBot="1" x14ac:dyDescent="0.3">
      <c r="A401" s="81" t="s">
        <v>341</v>
      </c>
      <c r="B401" s="81">
        <v>2020</v>
      </c>
      <c r="C401" s="72"/>
      <c r="D401" s="72"/>
      <c r="E401" s="78">
        <f>(1-(COUNTIF(D398:D400, "*Competitive Bid*"))/(COUNTA(D398:D400)))</f>
        <v>1</v>
      </c>
      <c r="F401" s="172"/>
      <c r="G401" s="155">
        <f>SUM(G398:G400)</f>
        <v>156456799</v>
      </c>
      <c r="H401" s="78">
        <f>SUM(G398:G399)/G401</f>
        <v>1</v>
      </c>
    </row>
    <row r="402" spans="1:8" s="19" customFormat="1" outlineLevel="1" x14ac:dyDescent="0.25">
      <c r="A402" s="144" t="s">
        <v>23</v>
      </c>
      <c r="B402" s="144">
        <v>2021</v>
      </c>
      <c r="C402" s="19" t="s">
        <v>379</v>
      </c>
      <c r="D402" s="19" t="s">
        <v>8</v>
      </c>
      <c r="F402" s="19" t="s">
        <v>11</v>
      </c>
      <c r="G402" s="20">
        <v>97578892</v>
      </c>
      <c r="H402" s="140"/>
    </row>
    <row r="403" spans="1:8" s="19" customFormat="1" outlineLevel="1" x14ac:dyDescent="0.25">
      <c r="A403" s="144"/>
      <c r="B403" s="144"/>
      <c r="G403" s="20"/>
      <c r="H403" s="140"/>
    </row>
    <row r="404" spans="1:8" x14ac:dyDescent="0.25">
      <c r="A404" s="82" t="s">
        <v>323</v>
      </c>
      <c r="B404" s="82">
        <v>2021</v>
      </c>
      <c r="C404" s="74"/>
      <c r="D404" s="74"/>
      <c r="E404" s="108">
        <f>(1-(COUNTIF(D402:D403,"*Competitive Bid*"))/(COUNTA(D402:D403)))</f>
        <v>1</v>
      </c>
      <c r="F404" s="169"/>
      <c r="G404" s="157">
        <f>SUM(G402:G403)</f>
        <v>97578892</v>
      </c>
      <c r="H404" s="108">
        <f>G402/G404</f>
        <v>1</v>
      </c>
    </row>
    <row r="405" spans="1:8" outlineLevel="1" x14ac:dyDescent="0.25">
      <c r="A405" s="52" t="s">
        <v>89</v>
      </c>
      <c r="B405" s="52">
        <v>2021</v>
      </c>
      <c r="C405" t="s">
        <v>376</v>
      </c>
      <c r="D405" t="s">
        <v>33</v>
      </c>
      <c r="F405" s="43" t="s">
        <v>69</v>
      </c>
      <c r="G405" s="152">
        <v>50619880</v>
      </c>
    </row>
    <row r="406" spans="1:8" outlineLevel="1" x14ac:dyDescent="0.25">
      <c r="F406" s="43"/>
    </row>
    <row r="407" spans="1:8" x14ac:dyDescent="0.25">
      <c r="A407" s="80" t="s">
        <v>328</v>
      </c>
      <c r="B407" s="80">
        <v>2021</v>
      </c>
      <c r="C407" s="50"/>
      <c r="D407" s="50"/>
      <c r="E407" s="77">
        <f>(1-(COUNTIF(D405:D406, "*Competitive Bid*"))/(COUNTA(D405:D406)))</f>
        <v>1</v>
      </c>
      <c r="F407" s="165"/>
      <c r="G407" s="153">
        <f>SUM(G405:G406)</f>
        <v>50619880</v>
      </c>
      <c r="H407" s="77">
        <f>G405/G407</f>
        <v>1</v>
      </c>
    </row>
    <row r="408" spans="1:8" outlineLevel="1" x14ac:dyDescent="0.25">
      <c r="A408" s="52" t="s">
        <v>104</v>
      </c>
      <c r="B408" s="52">
        <v>2021</v>
      </c>
      <c r="C408" s="21" t="s">
        <v>372</v>
      </c>
      <c r="D408" t="s">
        <v>8</v>
      </c>
      <c r="F408" s="43" t="s">
        <v>52</v>
      </c>
      <c r="G408" s="152">
        <v>80500000</v>
      </c>
    </row>
    <row r="409" spans="1:8" outlineLevel="1" x14ac:dyDescent="0.25">
      <c r="C409" s="21"/>
      <c r="F409" s="43"/>
    </row>
    <row r="410" spans="1:8" x14ac:dyDescent="0.25">
      <c r="A410" s="82" t="s">
        <v>332</v>
      </c>
      <c r="B410" s="82">
        <v>2021</v>
      </c>
      <c r="C410" s="74"/>
      <c r="D410" s="74"/>
      <c r="E410" s="108">
        <f>(1-(COUNTIF(D408:D409, "*Competitive Bid*"))/(COUNTA(D408:D409)))</f>
        <v>1</v>
      </c>
      <c r="F410" s="169"/>
      <c r="G410" s="157">
        <f>SUM(G408:G409)</f>
        <v>80500000</v>
      </c>
      <c r="H410" s="108">
        <f>G408/G410</f>
        <v>1</v>
      </c>
    </row>
    <row r="411" spans="1:8" outlineLevel="1" x14ac:dyDescent="0.25">
      <c r="A411" s="52" t="s">
        <v>277</v>
      </c>
      <c r="B411" s="52">
        <v>2021</v>
      </c>
      <c r="C411" t="s">
        <v>409</v>
      </c>
      <c r="D411" t="s">
        <v>8</v>
      </c>
      <c r="F411" s="52" t="s">
        <v>52</v>
      </c>
      <c r="G411" s="152">
        <v>69914000</v>
      </c>
    </row>
    <row r="412" spans="1:8" outlineLevel="1" x14ac:dyDescent="0.25">
      <c r="A412" s="52" t="s">
        <v>277</v>
      </c>
      <c r="B412" s="52">
        <v>2021</v>
      </c>
      <c r="C412" s="145" t="s">
        <v>412</v>
      </c>
      <c r="D412" s="145" t="s">
        <v>8</v>
      </c>
      <c r="F412" s="52" t="s">
        <v>58</v>
      </c>
      <c r="G412" s="152">
        <v>34500000</v>
      </c>
    </row>
    <row r="413" spans="1:8" outlineLevel="1" x14ac:dyDescent="0.25"/>
    <row r="414" spans="1:8" ht="15.75" thickBot="1" x14ac:dyDescent="0.3">
      <c r="A414" s="81" t="s">
        <v>341</v>
      </c>
      <c r="B414" s="81">
        <v>2021</v>
      </c>
      <c r="C414" s="72"/>
      <c r="D414" s="72"/>
      <c r="E414" s="78">
        <f>(1-(COUNTIF(D411:D413,"*Competitive Bid*"))/(COUNTA(D411:D413)))</f>
        <v>1</v>
      </c>
      <c r="F414" s="72"/>
      <c r="G414" s="155">
        <f>SUM(G411:G413)</f>
        <v>104414000</v>
      </c>
      <c r="H414" s="78">
        <f>SUM(G411:G412)/G414</f>
        <v>1</v>
      </c>
    </row>
    <row r="417" spans="3:7" ht="15.75" thickBot="1" x14ac:dyDescent="0.3">
      <c r="C417" s="2">
        <f>COUNTA(C2:C415)</f>
        <v>262</v>
      </c>
      <c r="G417" s="163">
        <f>SUM(G4+G6+G8+G20+G24+G26+G29+G31+G33+G35+G44+G50+G54+G59+G62+G64+G67+G70+G75+G78+G81+G83+G91+G94+G99+G101+G104+G107+G109+G111+G113+G118+G127+G131+G134+G138+G141+G145+G149+G152+G155+G157+G163+G167+G169+G171+G176+G179+G181+G186+G188+G190+G192+G194+G197+G199+G201+G203+G208+G210+G212+G215+G218+G221+G225+G227+G233+G236+G242+G246+G248+G251+G253+G255+G257+G259+G262+G266+G268+G272+G274+G277+G279+G281+G285+G288+G295+G298+G309+G319+G326+G330+G333+G337+G358+G364+G407+G410+G361+G373+G404+G367+G355+G342+G380+G397+G312+G370+G387+G401+G414+G303+G393+G377+G346+G390+G350+G384)</f>
        <v>6321003753</v>
      </c>
    </row>
    <row r="418" spans="3:7" ht="15.75" thickTop="1" x14ac:dyDescent="0.25"/>
  </sheetData>
  <pageMargins left="0.25" right="0.25" top="0.75" bottom="0.75" header="0.3" footer="0.3"/>
  <pageSetup paperSize="5" scale="81" fitToHeight="0" orientation="landscape" r:id="rId1"/>
  <headerFooter>
    <oddHeader>&amp;C&amp;"-,Bold"&amp;12COLLEGE PROJECTS BY YEAR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W267"/>
  <sheetViews>
    <sheetView topLeftCell="A43" zoomScaleNormal="100" workbookViewId="0">
      <selection sqref="A1:F64"/>
    </sheetView>
  </sheetViews>
  <sheetFormatPr defaultRowHeight="15" outlineLevelCol="1" x14ac:dyDescent="0.25"/>
  <cols>
    <col min="1" max="1" width="34" bestFit="1" customWidth="1"/>
    <col min="2" max="2" width="16.42578125" bestFit="1" customWidth="1"/>
    <col min="3" max="3" width="17" bestFit="1" customWidth="1"/>
    <col min="4" max="4" width="22.7109375" bestFit="1" customWidth="1"/>
    <col min="5" max="5" width="14.5703125" bestFit="1" customWidth="1"/>
    <col min="7" max="7" width="9.140625" hidden="1" customWidth="1" outlineLevel="1"/>
    <col min="8" max="8" width="13.7109375" hidden="1" customWidth="1" outlineLevel="1"/>
    <col min="9" max="9" width="9.7109375" hidden="1" customWidth="1" outlineLevel="1"/>
    <col min="10" max="10" width="81.28515625" hidden="1" customWidth="1" outlineLevel="1"/>
    <col min="11" max="11" width="23.42578125" hidden="1" customWidth="1" outlineLevel="1"/>
    <col min="12" max="12" width="34" hidden="1" customWidth="1" outlineLevel="1"/>
    <col min="13" max="13" width="13.85546875" hidden="1" customWidth="1" outlineLevel="1"/>
    <col min="14" max="14" width="9.140625" collapsed="1"/>
    <col min="16" max="16" width="32" bestFit="1" customWidth="1"/>
    <col min="17" max="18" width="13.85546875" bestFit="1" customWidth="1"/>
    <col min="19" max="19" width="17.5703125" bestFit="1" customWidth="1"/>
    <col min="20" max="20" width="11.140625" bestFit="1" customWidth="1"/>
    <col min="22" max="22" width="13.140625" bestFit="1" customWidth="1"/>
    <col min="23" max="23" width="5.85546875" bestFit="1" customWidth="1"/>
  </cols>
  <sheetData>
    <row r="1" spans="1:23" ht="16.5" thickBot="1" x14ac:dyDescent="0.3">
      <c r="A1" s="94" t="s">
        <v>345</v>
      </c>
      <c r="B1" s="94" t="s">
        <v>5</v>
      </c>
      <c r="C1" s="94" t="s">
        <v>320</v>
      </c>
      <c r="D1" s="94" t="s">
        <v>346</v>
      </c>
      <c r="E1" s="94" t="s">
        <v>347</v>
      </c>
      <c r="F1" s="95" t="s">
        <v>350</v>
      </c>
      <c r="G1" s="191"/>
      <c r="H1" s="237" t="s">
        <v>348</v>
      </c>
      <c r="I1" s="237"/>
      <c r="J1" s="237"/>
      <c r="K1" s="237"/>
      <c r="L1" s="237"/>
      <c r="M1" s="237"/>
      <c r="O1" s="238"/>
      <c r="P1" s="238"/>
      <c r="Q1" s="238"/>
      <c r="R1" s="238"/>
      <c r="S1" s="238"/>
      <c r="T1" s="238"/>
      <c r="U1" s="21"/>
      <c r="V1" s="21"/>
      <c r="W1" s="21"/>
    </row>
    <row r="2" spans="1:23" x14ac:dyDescent="0.25">
      <c r="A2" s="21" t="s">
        <v>127</v>
      </c>
      <c r="B2" s="20">
        <f>SUM(M2)</f>
        <v>11146300</v>
      </c>
      <c r="C2" s="19">
        <f>COUNTIF(L$2:L$265, "*A.D. Whittaker Construction Corp.*")</f>
        <v>1</v>
      </c>
      <c r="D2" s="124">
        <f>C2/C64</f>
        <v>3.8167938931297708E-3</v>
      </c>
      <c r="E2" s="124">
        <f>B2/B64</f>
        <v>1.7633750011159027E-3</v>
      </c>
      <c r="F2" s="19">
        <f>RANK(B2, $B$2:$B$62)</f>
        <v>39</v>
      </c>
      <c r="G2" s="190"/>
      <c r="H2" s="6" t="s">
        <v>119</v>
      </c>
      <c r="I2" s="6">
        <v>2009</v>
      </c>
      <c r="J2" s="6" t="s">
        <v>126</v>
      </c>
      <c r="K2" s="6" t="s">
        <v>19</v>
      </c>
      <c r="L2" s="6" t="s">
        <v>127</v>
      </c>
      <c r="M2" s="7">
        <v>11146300</v>
      </c>
      <c r="O2" s="102"/>
      <c r="P2" s="102"/>
      <c r="Q2" s="102"/>
      <c r="R2" s="102"/>
      <c r="S2" s="102"/>
      <c r="T2" s="102"/>
      <c r="U2" s="21"/>
      <c r="V2" s="87"/>
      <c r="W2" s="21"/>
    </row>
    <row r="3" spans="1:23" x14ac:dyDescent="0.25">
      <c r="A3" s="21" t="s">
        <v>428</v>
      </c>
      <c r="B3" s="20">
        <f>SUM(M3)</f>
        <v>6042602</v>
      </c>
      <c r="C3" s="19">
        <f>COUNTIF(L$2:L$265, "*Alexander Nicholson, Inc.*")</f>
        <v>1</v>
      </c>
      <c r="D3" s="124">
        <f>C3/C64</f>
        <v>3.8167938931297708E-3</v>
      </c>
      <c r="E3" s="124">
        <f>B3/B64</f>
        <v>9.5595608484366616E-4</v>
      </c>
      <c r="F3" s="19">
        <f t="shared" ref="F3:F62" si="0">RANK(B3, $B$2:$B$62)</f>
        <v>55</v>
      </c>
      <c r="G3" s="190"/>
      <c r="H3" s="6" t="s">
        <v>129</v>
      </c>
      <c r="I3" s="6">
        <v>2017</v>
      </c>
      <c r="J3" s="6" t="s">
        <v>427</v>
      </c>
      <c r="K3" s="6" t="s">
        <v>8</v>
      </c>
      <c r="L3" s="6" t="s">
        <v>428</v>
      </c>
      <c r="M3" s="7">
        <v>6042602</v>
      </c>
      <c r="O3" s="102"/>
      <c r="P3" s="102"/>
      <c r="Q3" s="102"/>
      <c r="R3" s="102"/>
      <c r="S3" s="102"/>
      <c r="T3" s="102"/>
      <c r="U3" s="21"/>
      <c r="V3" s="87"/>
      <c r="W3" s="21"/>
    </row>
    <row r="4" spans="1:23" x14ac:dyDescent="0.25">
      <c r="A4" s="21" t="s">
        <v>208</v>
      </c>
      <c r="B4" s="20">
        <f>SUM(M4)</f>
        <v>11559955</v>
      </c>
      <c r="C4" s="19">
        <v>1</v>
      </c>
      <c r="D4" s="124">
        <f>C4/C64</f>
        <v>3.8167938931297708E-3</v>
      </c>
      <c r="E4" s="124">
        <f>B4/B64</f>
        <v>1.8288163481177417E-3</v>
      </c>
      <c r="F4" s="19">
        <f t="shared" si="0"/>
        <v>38</v>
      </c>
      <c r="G4" s="190"/>
      <c r="H4" s="19" t="s">
        <v>191</v>
      </c>
      <c r="I4" s="19">
        <v>2008</v>
      </c>
      <c r="J4" s="19" t="s">
        <v>207</v>
      </c>
      <c r="K4" s="19" t="s">
        <v>19</v>
      </c>
      <c r="L4" s="19" t="s">
        <v>208</v>
      </c>
      <c r="M4" s="20">
        <v>11559955</v>
      </c>
      <c r="O4" s="106"/>
      <c r="P4" s="21"/>
      <c r="Q4" s="22"/>
      <c r="R4" s="21"/>
      <c r="S4" s="107"/>
      <c r="T4" s="107"/>
      <c r="U4" s="21"/>
      <c r="V4" s="21"/>
      <c r="W4" s="21"/>
    </row>
    <row r="5" spans="1:23" x14ac:dyDescent="0.25">
      <c r="A5" s="21" t="s">
        <v>31</v>
      </c>
      <c r="B5" s="20">
        <f>SUM(M5:M8)</f>
        <v>83997632</v>
      </c>
      <c r="C5" s="19">
        <f>COUNTIF(L$2:L$265, "*Balfour Beatty Construction, LLC.*")</f>
        <v>4</v>
      </c>
      <c r="D5" s="124">
        <f>C5/C64</f>
        <v>1.5267175572519083E-2</v>
      </c>
      <c r="E5" s="124">
        <f>B5/B64</f>
        <v>1.3288654030640947E-2</v>
      </c>
      <c r="F5" s="19">
        <f t="shared" si="0"/>
        <v>12</v>
      </c>
      <c r="G5" s="190"/>
      <c r="H5" s="19" t="s">
        <v>23</v>
      </c>
      <c r="I5" s="19">
        <v>2014</v>
      </c>
      <c r="J5" s="19" t="s">
        <v>30</v>
      </c>
      <c r="K5" s="19" t="s">
        <v>19</v>
      </c>
      <c r="L5" s="19" t="s">
        <v>31</v>
      </c>
      <c r="M5" s="20">
        <v>8603478</v>
      </c>
      <c r="O5" s="106"/>
      <c r="P5" s="21"/>
      <c r="Q5" s="22"/>
      <c r="R5" s="21"/>
      <c r="S5" s="107"/>
      <c r="T5" s="107"/>
      <c r="U5" s="21"/>
      <c r="V5" s="21"/>
      <c r="W5" s="21"/>
    </row>
    <row r="6" spans="1:23" x14ac:dyDescent="0.25">
      <c r="A6" s="21" t="s">
        <v>143</v>
      </c>
      <c r="B6" s="20">
        <f>SUM(M9:M18)</f>
        <v>332600234</v>
      </c>
      <c r="C6" s="19">
        <f>COUNTIF(L$2:L$265, "*Barton Malow Company*")</f>
        <v>10</v>
      </c>
      <c r="D6" s="124">
        <f>C6/C64</f>
        <v>3.8167938931297711E-2</v>
      </c>
      <c r="E6" s="124">
        <f>B6/B64</f>
        <v>5.261826238311363E-2</v>
      </c>
      <c r="F6" s="19">
        <f t="shared" si="0"/>
        <v>7</v>
      </c>
      <c r="G6" s="190"/>
      <c r="H6" s="19" t="s">
        <v>23</v>
      </c>
      <c r="I6" s="19">
        <v>2010</v>
      </c>
      <c r="J6" s="19" t="s">
        <v>36</v>
      </c>
      <c r="K6" s="19" t="s">
        <v>33</v>
      </c>
      <c r="L6" s="19" t="s">
        <v>31</v>
      </c>
      <c r="M6" s="20">
        <v>47457000</v>
      </c>
      <c r="O6" s="106"/>
      <c r="P6" s="21"/>
      <c r="Q6" s="22"/>
      <c r="R6" s="21"/>
      <c r="S6" s="107"/>
      <c r="T6" s="107"/>
      <c r="U6" s="21"/>
      <c r="V6" s="21"/>
      <c r="W6" s="21"/>
    </row>
    <row r="7" spans="1:23" x14ac:dyDescent="0.25">
      <c r="A7" s="21" t="s">
        <v>196</v>
      </c>
      <c r="B7" s="20">
        <f>SUM(M19)</f>
        <v>7052618</v>
      </c>
      <c r="C7" s="19">
        <f>COUNTIF(L$2:L$265, "*BE&amp;K Building Group, LLC.*")</f>
        <v>1</v>
      </c>
      <c r="D7" s="124">
        <f>C7/C64</f>
        <v>3.8167938931297708E-3</v>
      </c>
      <c r="E7" s="124">
        <f>B7/B64</f>
        <v>1.1157433653876205E-3</v>
      </c>
      <c r="F7" s="19">
        <f t="shared" si="0"/>
        <v>48</v>
      </c>
      <c r="G7" s="190"/>
      <c r="H7" s="19" t="s">
        <v>23</v>
      </c>
      <c r="I7" s="19">
        <v>2013</v>
      </c>
      <c r="J7" s="19" t="s">
        <v>40</v>
      </c>
      <c r="K7" s="19" t="s">
        <v>33</v>
      </c>
      <c r="L7" s="19" t="s">
        <v>31</v>
      </c>
      <c r="M7" s="20">
        <v>15878554</v>
      </c>
      <c r="O7" s="106"/>
      <c r="P7" s="21"/>
      <c r="Q7" s="22"/>
      <c r="R7" s="21"/>
      <c r="S7" s="107"/>
      <c r="T7" s="107"/>
      <c r="U7" s="21"/>
      <c r="V7" s="21"/>
      <c r="W7" s="21"/>
    </row>
    <row r="8" spans="1:23" x14ac:dyDescent="0.25">
      <c r="A8" s="21" t="s">
        <v>75</v>
      </c>
      <c r="B8" s="20">
        <f>SUM(M20:M34)</f>
        <v>246279492</v>
      </c>
      <c r="C8" s="19">
        <f>COUNTIF(L$2:L$265, "*Branch &amp; Associates, Inc.*")</f>
        <v>15</v>
      </c>
      <c r="D8" s="124">
        <f>C8/C64</f>
        <v>5.7251908396946563E-2</v>
      </c>
      <c r="E8" s="124">
        <f>B8/B64</f>
        <v>3.8962086026782333E-2</v>
      </c>
      <c r="F8" s="19">
        <f t="shared" si="0"/>
        <v>9</v>
      </c>
      <c r="G8" s="190"/>
      <c r="H8" s="19" t="s">
        <v>249</v>
      </c>
      <c r="I8" s="19">
        <v>2014</v>
      </c>
      <c r="J8" s="19" t="s">
        <v>259</v>
      </c>
      <c r="K8" s="19" t="s">
        <v>8</v>
      </c>
      <c r="L8" s="19" t="s">
        <v>31</v>
      </c>
      <c r="M8" s="20">
        <v>12058600</v>
      </c>
      <c r="O8" s="106"/>
      <c r="P8" s="21"/>
      <c r="Q8" s="22"/>
      <c r="R8" s="21"/>
      <c r="S8" s="107"/>
      <c r="T8" s="107"/>
      <c r="U8" s="21"/>
      <c r="V8" s="21"/>
      <c r="W8" s="21"/>
    </row>
    <row r="9" spans="1:23" x14ac:dyDescent="0.25">
      <c r="A9" s="21" t="s">
        <v>42</v>
      </c>
      <c r="B9" s="20">
        <f>SUM(M35)</f>
        <v>15056821</v>
      </c>
      <c r="C9" s="19">
        <f>COUNTIF(L$2:L$265, "*Branch Highways*")</f>
        <v>1</v>
      </c>
      <c r="D9" s="124">
        <f>C9/C64</f>
        <v>3.8167938931297708E-3</v>
      </c>
      <c r="E9" s="124">
        <f>B9/B64</f>
        <v>2.3820300680653622E-3</v>
      </c>
      <c r="F9" s="19">
        <f t="shared" si="0"/>
        <v>29</v>
      </c>
      <c r="G9" s="190"/>
      <c r="H9" s="19" t="s">
        <v>129</v>
      </c>
      <c r="I9" s="19">
        <v>2011</v>
      </c>
      <c r="J9" s="19" t="s">
        <v>142</v>
      </c>
      <c r="K9" s="19" t="s">
        <v>8</v>
      </c>
      <c r="L9" s="19" t="s">
        <v>143</v>
      </c>
      <c r="M9" s="20">
        <v>42436184</v>
      </c>
      <c r="O9" s="106"/>
      <c r="P9" s="21"/>
      <c r="Q9" s="22"/>
      <c r="R9" s="21"/>
      <c r="S9" s="107"/>
      <c r="T9" s="107"/>
      <c r="U9" s="21"/>
      <c r="V9" s="21"/>
      <c r="W9" s="21"/>
    </row>
    <row r="10" spans="1:23" x14ac:dyDescent="0.25">
      <c r="A10" s="21" t="s">
        <v>79</v>
      </c>
      <c r="B10" s="20">
        <f>SUM(M36)</f>
        <v>6905660</v>
      </c>
      <c r="C10" s="19">
        <f>COUNTIF(L$2:L$265, "*C.L. Lewis &amp; Co., Inc.*")</f>
        <v>1</v>
      </c>
      <c r="D10" s="124">
        <f>C10/C64</f>
        <v>3.8167938931297708E-3</v>
      </c>
      <c r="E10" s="124">
        <f>B10/B64</f>
        <v>1.0924942097562461E-3</v>
      </c>
      <c r="F10" s="19">
        <f t="shared" si="0"/>
        <v>49</v>
      </c>
      <c r="G10" s="190"/>
      <c r="H10" s="19" t="s">
        <v>129</v>
      </c>
      <c r="I10" s="19">
        <v>2012</v>
      </c>
      <c r="J10" s="19" t="s">
        <v>155</v>
      </c>
      <c r="K10" s="19" t="s">
        <v>8</v>
      </c>
      <c r="L10" s="19" t="s">
        <v>143</v>
      </c>
      <c r="M10" s="20">
        <v>5238422</v>
      </c>
      <c r="O10" s="106"/>
      <c r="P10" s="21"/>
      <c r="Q10" s="22"/>
      <c r="R10" s="21"/>
      <c r="S10" s="107"/>
      <c r="T10" s="107"/>
      <c r="U10" s="21"/>
      <c r="V10" s="21"/>
      <c r="W10" s="21"/>
    </row>
    <row r="11" spans="1:23" x14ac:dyDescent="0.25">
      <c r="A11" s="21" t="s">
        <v>218</v>
      </c>
      <c r="B11" s="20">
        <f>SUM(M37)</f>
        <v>14000000</v>
      </c>
      <c r="C11" s="19">
        <f>COUNTIF(L$2:L$265, "*Captial Lease*")</f>
        <v>1</v>
      </c>
      <c r="D11" s="124">
        <f>C11/C64</f>
        <v>3.8167938931297708E-3</v>
      </c>
      <c r="E11" s="124">
        <f>B11/B64</f>
        <v>2.214838109114472E-3</v>
      </c>
      <c r="F11" s="19">
        <f t="shared" si="0"/>
        <v>32</v>
      </c>
      <c r="G11" s="190"/>
      <c r="H11" s="19" t="s">
        <v>129</v>
      </c>
      <c r="I11" s="19">
        <v>2016</v>
      </c>
      <c r="J11" s="19" t="s">
        <v>186</v>
      </c>
      <c r="K11" s="19" t="s">
        <v>8</v>
      </c>
      <c r="L11" s="19" t="s">
        <v>143</v>
      </c>
      <c r="M11" s="20">
        <v>70304737</v>
      </c>
      <c r="O11" s="106"/>
      <c r="P11" s="21"/>
      <c r="Q11" s="22"/>
      <c r="R11" s="21"/>
      <c r="S11" s="107"/>
      <c r="T11" s="107"/>
      <c r="U11" s="21"/>
      <c r="V11" s="21"/>
      <c r="W11" s="21"/>
    </row>
    <row r="12" spans="1:23" x14ac:dyDescent="0.25">
      <c r="A12" s="21" t="s">
        <v>77</v>
      </c>
      <c r="B12" s="20">
        <f>SUM(M38)</f>
        <v>16519000</v>
      </c>
      <c r="C12" s="19">
        <f>COUNTIF(L$2:L$265, "*Costello Construction, Inc.*")</f>
        <v>1</v>
      </c>
      <c r="D12" s="124">
        <f>C12/C64</f>
        <v>3.8167938931297708E-3</v>
      </c>
      <c r="E12" s="124">
        <f>B12/B64</f>
        <v>2.613350766032997E-3</v>
      </c>
      <c r="F12" s="19">
        <f t="shared" si="0"/>
        <v>27</v>
      </c>
      <c r="G12" s="190"/>
      <c r="H12" s="21" t="s">
        <v>191</v>
      </c>
      <c r="I12" s="21">
        <v>2009</v>
      </c>
      <c r="J12" s="21" t="s">
        <v>192</v>
      </c>
      <c r="K12" s="21" t="s">
        <v>8</v>
      </c>
      <c r="L12" s="21" t="s">
        <v>143</v>
      </c>
      <c r="M12" s="22">
        <v>50388670</v>
      </c>
      <c r="O12" s="106"/>
      <c r="P12" s="21"/>
      <c r="Q12" s="22"/>
      <c r="R12" s="21"/>
      <c r="S12" s="107"/>
      <c r="T12" s="107"/>
      <c r="U12" s="21"/>
      <c r="V12" s="21"/>
      <c r="W12" s="21"/>
    </row>
    <row r="13" spans="1:23" x14ac:dyDescent="0.25">
      <c r="A13" s="21" t="s">
        <v>171</v>
      </c>
      <c r="B13" s="20">
        <f>SUM(M39)</f>
        <v>10833637</v>
      </c>
      <c r="C13" s="19">
        <f>COUNTIF(L$2:L$265, "*Design Electric, Inc.*")</f>
        <v>1</v>
      </c>
      <c r="D13" s="124">
        <f>C13/C64</f>
        <v>3.8167938931297708E-3</v>
      </c>
      <c r="E13" s="124">
        <f>B13/B64</f>
        <v>1.713910863422327E-3</v>
      </c>
      <c r="F13" s="19">
        <f t="shared" si="0"/>
        <v>40</v>
      </c>
      <c r="G13" s="190"/>
      <c r="H13" s="21" t="s">
        <v>191</v>
      </c>
      <c r="I13" s="21">
        <v>2012</v>
      </c>
      <c r="J13" s="21" t="s">
        <v>204</v>
      </c>
      <c r="K13" s="21" t="s">
        <v>8</v>
      </c>
      <c r="L13" s="21" t="s">
        <v>143</v>
      </c>
      <c r="M13" s="22">
        <v>23879669</v>
      </c>
      <c r="O13" s="106"/>
      <c r="P13" s="21"/>
      <c r="Q13" s="22"/>
      <c r="R13" s="21"/>
      <c r="S13" s="107"/>
      <c r="T13" s="107"/>
      <c r="U13" s="21"/>
      <c r="V13" s="21"/>
      <c r="W13" s="21"/>
    </row>
    <row r="14" spans="1:23" x14ac:dyDescent="0.25">
      <c r="A14" s="21" t="s">
        <v>49</v>
      </c>
      <c r="B14" s="20">
        <f>SUM(M40:M54)</f>
        <v>364610936</v>
      </c>
      <c r="C14" s="19">
        <f>COUNTIF(L$2:L$265, "*Donley's LLC.*")</f>
        <v>15</v>
      </c>
      <c r="D14" s="124">
        <f>C14/C64</f>
        <v>5.7251908396946563E-2</v>
      </c>
      <c r="E14" s="124">
        <f>B14/B64</f>
        <v>5.7682442575192693E-2</v>
      </c>
      <c r="F14" s="19">
        <f t="shared" si="0"/>
        <v>6</v>
      </c>
      <c r="G14" s="190"/>
      <c r="H14" s="21" t="s">
        <v>191</v>
      </c>
      <c r="I14" s="21">
        <v>2014</v>
      </c>
      <c r="J14" s="21" t="s">
        <v>206</v>
      </c>
      <c r="K14" s="21" t="s">
        <v>8</v>
      </c>
      <c r="L14" s="21" t="s">
        <v>143</v>
      </c>
      <c r="M14" s="22">
        <v>69704066</v>
      </c>
      <c r="O14" s="21"/>
      <c r="P14" s="21"/>
      <c r="Q14" s="21"/>
      <c r="R14" s="21"/>
      <c r="S14" s="21"/>
      <c r="T14" s="21"/>
      <c r="U14" s="21"/>
      <c r="V14" s="21"/>
      <c r="W14" s="21"/>
    </row>
    <row r="15" spans="1:23" x14ac:dyDescent="0.25">
      <c r="A15" s="21" t="s">
        <v>141</v>
      </c>
      <c r="B15" s="20">
        <f>SUM(M55:M57)</f>
        <v>60232486</v>
      </c>
      <c r="C15" s="19">
        <f>COUNTIF(L$2:L$265, "*DPR Construction, Inc.*")</f>
        <v>3</v>
      </c>
      <c r="D15" s="124">
        <f>C15/C64</f>
        <v>1.1450381679389313E-2</v>
      </c>
      <c r="E15" s="124">
        <f>B15/B64</f>
        <v>9.528943242821707E-3</v>
      </c>
      <c r="F15" s="19">
        <f t="shared" si="0"/>
        <v>15</v>
      </c>
      <c r="G15" s="190"/>
      <c r="H15" s="21" t="s">
        <v>191</v>
      </c>
      <c r="I15" s="21">
        <v>2009</v>
      </c>
      <c r="J15" s="21" t="s">
        <v>210</v>
      </c>
      <c r="K15" s="21" t="s">
        <v>33</v>
      </c>
      <c r="L15" s="21" t="s">
        <v>143</v>
      </c>
      <c r="M15" s="22">
        <v>12558008</v>
      </c>
      <c r="O15" s="21"/>
      <c r="P15" s="21"/>
      <c r="Q15" s="22"/>
      <c r="R15" s="22"/>
      <c r="S15" s="107"/>
      <c r="T15" s="21"/>
      <c r="U15" s="21"/>
      <c r="V15" s="21"/>
      <c r="W15" s="21"/>
    </row>
    <row r="16" spans="1:23" x14ac:dyDescent="0.25">
      <c r="A16" s="21" t="s">
        <v>39</v>
      </c>
      <c r="B16" s="20">
        <f>SUM(M58)</f>
        <v>12080000</v>
      </c>
      <c r="C16" s="19">
        <f>COUNTIF(L$2:L$265, "*Dustin Construction, Inc.*")</f>
        <v>1</v>
      </c>
      <c r="D16" s="124">
        <f>C16/C64</f>
        <v>3.8167938931297708E-3</v>
      </c>
      <c r="E16" s="124">
        <f>B16/B64</f>
        <v>1.91108888272163E-3</v>
      </c>
      <c r="F16" s="19">
        <f t="shared" si="0"/>
        <v>36</v>
      </c>
      <c r="G16" s="190"/>
      <c r="H16" s="21" t="s">
        <v>227</v>
      </c>
      <c r="I16" s="21">
        <v>2009</v>
      </c>
      <c r="J16" s="21" t="s">
        <v>232</v>
      </c>
      <c r="K16" s="21" t="s">
        <v>8</v>
      </c>
      <c r="L16" s="21" t="s">
        <v>143</v>
      </c>
      <c r="M16" s="22">
        <v>24140648</v>
      </c>
      <c r="O16" s="21"/>
      <c r="P16" s="21"/>
      <c r="Q16" s="21"/>
      <c r="R16" s="21"/>
      <c r="S16" s="21"/>
      <c r="T16" s="21"/>
      <c r="U16" s="21"/>
      <c r="V16" s="21"/>
      <c r="W16" s="21"/>
    </row>
    <row r="17" spans="1:23" x14ac:dyDescent="0.25">
      <c r="A17" s="21" t="s">
        <v>21</v>
      </c>
      <c r="B17" s="20">
        <f>SUM(M59)</f>
        <v>9500000</v>
      </c>
      <c r="C17" s="19">
        <f>COUNTIF(L$2:L$265, "*E.T. Gresham Company*")</f>
        <v>1</v>
      </c>
      <c r="D17" s="124">
        <f>C17/C64</f>
        <v>3.8167938931297708E-3</v>
      </c>
      <c r="E17" s="124">
        <f>B17/B64</f>
        <v>1.5029258597562488E-3</v>
      </c>
      <c r="F17" s="19">
        <f t="shared" si="0"/>
        <v>42</v>
      </c>
      <c r="G17" s="190"/>
      <c r="H17" s="21" t="s">
        <v>277</v>
      </c>
      <c r="I17" s="21">
        <v>2014</v>
      </c>
      <c r="J17" s="21" t="s">
        <v>289</v>
      </c>
      <c r="K17" s="21" t="s">
        <v>8</v>
      </c>
      <c r="L17" s="21" t="s">
        <v>143</v>
      </c>
      <c r="M17" s="22">
        <v>22078719</v>
      </c>
      <c r="O17" s="21"/>
      <c r="P17" s="21"/>
      <c r="Q17" s="22"/>
      <c r="R17" s="21"/>
      <c r="S17" s="21"/>
      <c r="T17" s="107"/>
      <c r="U17" s="21"/>
      <c r="V17" s="21"/>
      <c r="W17" s="21"/>
    </row>
    <row r="18" spans="1:23" x14ac:dyDescent="0.25">
      <c r="A18" s="21" t="s">
        <v>81</v>
      </c>
      <c r="B18" s="20">
        <f>SUM(M60)</f>
        <v>12325000</v>
      </c>
      <c r="C18" s="19">
        <f>COUNTIF(L$2:L$265, "*English Construction Co., Inc.*")</f>
        <v>1</v>
      </c>
      <c r="D18" s="124">
        <f>C18/C64</f>
        <v>3.8167938931297708E-3</v>
      </c>
      <c r="E18" s="124">
        <f>B18/B64</f>
        <v>1.9498485496311333E-3</v>
      </c>
      <c r="F18" s="19">
        <f t="shared" si="0"/>
        <v>33</v>
      </c>
      <c r="G18" s="190"/>
      <c r="H18" s="21" t="s">
        <v>129</v>
      </c>
      <c r="I18" s="21">
        <v>2019</v>
      </c>
      <c r="J18" s="21" t="s">
        <v>438</v>
      </c>
      <c r="K18" s="21" t="s">
        <v>19</v>
      </c>
      <c r="L18" s="21" t="s">
        <v>143</v>
      </c>
      <c r="M18" s="22">
        <v>11871111</v>
      </c>
      <c r="O18" s="21"/>
      <c r="P18" s="21"/>
      <c r="Q18" s="22"/>
      <c r="R18" s="21"/>
      <c r="S18" s="21"/>
      <c r="T18" s="107"/>
      <c r="U18" s="21"/>
      <c r="V18" s="21"/>
      <c r="W18" s="21"/>
    </row>
    <row r="19" spans="1:23" x14ac:dyDescent="0.25">
      <c r="A19" s="21" t="s">
        <v>160</v>
      </c>
      <c r="B19" s="20">
        <f>SUM(M61:M62)</f>
        <v>12151720</v>
      </c>
      <c r="C19" s="19">
        <f>COUNTIF(L$2:L$265, "*Faulconer Construction Co., Inc.*")</f>
        <v>2</v>
      </c>
      <c r="D19" s="124">
        <f>C19/C64</f>
        <v>7.6335877862595417E-3</v>
      </c>
      <c r="E19" s="124">
        <f>B19/B64</f>
        <v>1.9224351819491794E-3</v>
      </c>
      <c r="F19" s="19">
        <f t="shared" si="0"/>
        <v>34</v>
      </c>
      <c r="G19" s="190"/>
      <c r="H19" s="21" t="s">
        <v>191</v>
      </c>
      <c r="I19" s="21">
        <v>2010</v>
      </c>
      <c r="J19" s="21" t="s">
        <v>195</v>
      </c>
      <c r="K19" s="21" t="s">
        <v>8</v>
      </c>
      <c r="L19" s="21" t="s">
        <v>196</v>
      </c>
      <c r="M19" s="22">
        <v>7052618</v>
      </c>
      <c r="O19" s="21"/>
      <c r="P19" s="21"/>
      <c r="Q19" s="22"/>
      <c r="R19" s="21"/>
      <c r="S19" s="21"/>
      <c r="T19" s="107"/>
      <c r="U19" s="21"/>
      <c r="V19" s="21"/>
      <c r="W19" s="21"/>
    </row>
    <row r="20" spans="1:23" x14ac:dyDescent="0.25">
      <c r="A20" s="21" t="s">
        <v>112</v>
      </c>
      <c r="B20" s="20">
        <f>SUM(M63:M66)</f>
        <v>43099960</v>
      </c>
      <c r="C20" s="19">
        <f>COUNTIF(L$2:L$265, "*G&amp;H Contracting*")</f>
        <v>4</v>
      </c>
      <c r="D20" s="124">
        <f>C20/C64</f>
        <v>1.5267175572519083E-2</v>
      </c>
      <c r="E20" s="124">
        <f>B20/B64</f>
        <v>6.8185309935220977E-3</v>
      </c>
      <c r="F20" s="19">
        <f t="shared" si="0"/>
        <v>19</v>
      </c>
      <c r="G20" s="190"/>
      <c r="H20" s="21" t="s">
        <v>73</v>
      </c>
      <c r="I20" s="21">
        <v>2008</v>
      </c>
      <c r="J20" s="21" t="s">
        <v>74</v>
      </c>
      <c r="K20" s="21" t="s">
        <v>19</v>
      </c>
      <c r="L20" s="21" t="s">
        <v>75</v>
      </c>
      <c r="M20" s="22">
        <v>12143450</v>
      </c>
      <c r="O20" s="21"/>
      <c r="P20" s="21"/>
      <c r="Q20" s="22"/>
      <c r="R20" s="21"/>
      <c r="S20" s="21"/>
      <c r="T20" s="107"/>
      <c r="U20" s="21"/>
      <c r="V20" s="21"/>
      <c r="W20" s="21"/>
    </row>
    <row r="21" spans="1:23" x14ac:dyDescent="0.25">
      <c r="A21" s="21" t="s">
        <v>146</v>
      </c>
      <c r="B21" s="20">
        <f>SUM(M67:M75)</f>
        <v>288039067</v>
      </c>
      <c r="C21" s="19">
        <f>COUNTIF(L$2:L$265, "*Gilbane Building Company*")</f>
        <v>9</v>
      </c>
      <c r="D21" s="124">
        <f>C21/C64</f>
        <v>3.4351145038167941E-2</v>
      </c>
      <c r="E21" s="124">
        <f>B21/B64</f>
        <v>4.556856446466976E-2</v>
      </c>
      <c r="F21" s="19">
        <f t="shared" si="0"/>
        <v>8</v>
      </c>
      <c r="G21" s="190"/>
      <c r="H21" s="21" t="s">
        <v>191</v>
      </c>
      <c r="I21" s="21">
        <v>2010</v>
      </c>
      <c r="J21" s="21" t="s">
        <v>197</v>
      </c>
      <c r="K21" s="21" t="s">
        <v>8</v>
      </c>
      <c r="L21" s="21" t="s">
        <v>75</v>
      </c>
      <c r="M21" s="22">
        <v>6648316</v>
      </c>
      <c r="O21" s="21"/>
      <c r="P21" s="21"/>
      <c r="Q21" s="22"/>
      <c r="R21" s="21"/>
      <c r="S21" s="21"/>
      <c r="T21" s="107"/>
      <c r="U21" s="21"/>
      <c r="V21" s="21"/>
      <c r="W21" s="21"/>
    </row>
    <row r="22" spans="1:23" x14ac:dyDescent="0.25">
      <c r="A22" s="21" t="s">
        <v>437</v>
      </c>
      <c r="B22" s="20">
        <f>SUM(M76)</f>
        <v>7285505</v>
      </c>
      <c r="C22" s="19">
        <f>COUNTIF(L$2:L$265, "*Greenland Enterprise, Inc.*")</f>
        <v>1</v>
      </c>
      <c r="D22" s="124">
        <f>C22/C64</f>
        <v>3.8167938931297708E-3</v>
      </c>
      <c r="E22" s="124">
        <f>B22/B64</f>
        <v>1.1525867227245735E-3</v>
      </c>
      <c r="F22" s="19">
        <f t="shared" si="0"/>
        <v>47</v>
      </c>
      <c r="G22" s="190"/>
      <c r="H22" s="21" t="s">
        <v>191</v>
      </c>
      <c r="I22" s="21">
        <v>2011</v>
      </c>
      <c r="J22" s="21" t="s">
        <v>200</v>
      </c>
      <c r="K22" s="21" t="s">
        <v>8</v>
      </c>
      <c r="L22" s="21" t="s">
        <v>75</v>
      </c>
      <c r="M22" s="22">
        <v>5246503</v>
      </c>
      <c r="O22" s="21"/>
      <c r="P22" s="21"/>
      <c r="Q22" s="22"/>
      <c r="R22" s="21"/>
      <c r="S22" s="21"/>
      <c r="T22" s="107"/>
      <c r="U22" s="21"/>
      <c r="V22" s="21"/>
      <c r="W22" s="21"/>
    </row>
    <row r="23" spans="1:23" x14ac:dyDescent="0.25">
      <c r="A23" s="21" t="s">
        <v>239</v>
      </c>
      <c r="B23" s="20">
        <f>SUM(M77:M78)</f>
        <v>29811600</v>
      </c>
      <c r="C23" s="19">
        <f>COUNTIF(L$2:L$265, "*Grunley Construction Company, Inc.*")</f>
        <v>2</v>
      </c>
      <c r="D23" s="124">
        <f>C23/C64</f>
        <v>7.6335877862595417E-3</v>
      </c>
      <c r="E23" s="124">
        <f>B23/B64</f>
        <v>4.716276269548356E-3</v>
      </c>
      <c r="F23" s="19">
        <f t="shared" si="0"/>
        <v>22</v>
      </c>
      <c r="G23" s="190"/>
      <c r="H23" s="21" t="s">
        <v>191</v>
      </c>
      <c r="I23" s="21">
        <v>2017</v>
      </c>
      <c r="J23" s="21" t="s">
        <v>223</v>
      </c>
      <c r="K23" s="21" t="s">
        <v>8</v>
      </c>
      <c r="L23" s="21" t="s">
        <v>75</v>
      </c>
      <c r="M23" s="22">
        <v>25605000</v>
      </c>
      <c r="O23" s="21"/>
      <c r="P23" s="21"/>
      <c r="Q23" s="21"/>
      <c r="R23" s="21"/>
      <c r="S23" s="21"/>
      <c r="T23" s="21"/>
      <c r="U23" s="21"/>
      <c r="V23" s="21"/>
      <c r="W23" s="21"/>
    </row>
    <row r="24" spans="1:23" x14ac:dyDescent="0.25">
      <c r="A24" s="21" t="s">
        <v>85</v>
      </c>
      <c r="B24" s="20">
        <f>SUM(M79)</f>
        <v>6556593</v>
      </c>
      <c r="C24" s="19">
        <f>COUNTIF(L$2:L$265, "*Hailey Builders, Inc.*")</f>
        <v>1</v>
      </c>
      <c r="D24" s="124">
        <f>C24/C64</f>
        <v>3.8167938931297708E-3</v>
      </c>
      <c r="E24" s="124">
        <f>B24/B64</f>
        <v>1.0372708601680844E-3</v>
      </c>
      <c r="F24" s="19">
        <f t="shared" si="0"/>
        <v>52</v>
      </c>
      <c r="G24" s="190"/>
      <c r="H24" s="21" t="s">
        <v>191</v>
      </c>
      <c r="I24" s="21">
        <v>2017</v>
      </c>
      <c r="J24" s="21" t="s">
        <v>225</v>
      </c>
      <c r="K24" s="21" t="s">
        <v>8</v>
      </c>
      <c r="L24" s="21" t="s">
        <v>75</v>
      </c>
      <c r="M24" s="22">
        <v>14144099</v>
      </c>
      <c r="O24" s="21"/>
      <c r="P24" s="21"/>
      <c r="Q24" s="21"/>
      <c r="R24" s="21"/>
      <c r="S24" s="21"/>
      <c r="T24" s="21"/>
      <c r="U24" s="21"/>
      <c r="V24" s="21"/>
      <c r="W24" s="21"/>
    </row>
    <row r="25" spans="1:23" x14ac:dyDescent="0.25">
      <c r="A25" s="21" t="s">
        <v>67</v>
      </c>
      <c r="B25" s="20">
        <f>SUM(M80)</f>
        <v>5869548</v>
      </c>
      <c r="C25" s="19">
        <f>COUNTIF(L$2:L$265, "*Harrisonburg Construction, Inc.*")</f>
        <v>1</v>
      </c>
      <c r="D25" s="124">
        <f>C25/C64</f>
        <v>3.8167938931297708E-3</v>
      </c>
      <c r="E25" s="124">
        <f>B25/B64</f>
        <v>9.2857847097690212E-4</v>
      </c>
      <c r="F25" s="19">
        <f t="shared" si="0"/>
        <v>56</v>
      </c>
      <c r="G25" s="190"/>
      <c r="H25" s="21" t="s">
        <v>227</v>
      </c>
      <c r="I25" s="21">
        <v>2014</v>
      </c>
      <c r="J25" s="21" t="s">
        <v>240</v>
      </c>
      <c r="K25" s="21" t="s">
        <v>19</v>
      </c>
      <c r="L25" s="21" t="s">
        <v>75</v>
      </c>
      <c r="M25" s="22">
        <v>24698825</v>
      </c>
      <c r="O25" s="21"/>
      <c r="P25" s="21"/>
      <c r="Q25" s="22"/>
      <c r="R25" s="21"/>
      <c r="S25" s="21"/>
      <c r="T25" s="107"/>
      <c r="U25" s="21"/>
      <c r="V25" s="21"/>
      <c r="W25" s="21"/>
    </row>
    <row r="26" spans="1:23" x14ac:dyDescent="0.25">
      <c r="A26" s="21" t="s">
        <v>34</v>
      </c>
      <c r="B26" s="20">
        <f>SUM(M81:M82)</f>
        <v>35787546</v>
      </c>
      <c r="C26" s="19">
        <f>COUNTIF(L$2:L$265, "*Hess Construction Company*")</f>
        <v>2</v>
      </c>
      <c r="D26" s="124">
        <f>C26/C64</f>
        <v>7.6335877862595417E-3</v>
      </c>
      <c r="E26" s="124">
        <f>B26/B64</f>
        <v>5.6616871937490839E-3</v>
      </c>
      <c r="F26" s="19">
        <f t="shared" si="0"/>
        <v>21</v>
      </c>
      <c r="G26" s="190"/>
      <c r="H26" s="21" t="s">
        <v>249</v>
      </c>
      <c r="I26" s="21">
        <v>2014</v>
      </c>
      <c r="J26" s="21" t="s">
        <v>260</v>
      </c>
      <c r="K26" s="21" t="s">
        <v>8</v>
      </c>
      <c r="L26" s="21" t="s">
        <v>75</v>
      </c>
      <c r="M26" s="22">
        <v>5468139</v>
      </c>
      <c r="Q26" s="1"/>
      <c r="T26" s="16"/>
    </row>
    <row r="27" spans="1:23" x14ac:dyDescent="0.25">
      <c r="A27" s="21" t="s">
        <v>178</v>
      </c>
      <c r="B27" s="20">
        <f>SUM(M83:M86)</f>
        <v>203276732</v>
      </c>
      <c r="C27" s="19">
        <f>COUNTIF(L$2:L$265, "*Holder Construction Group, LLC.*")</f>
        <v>4</v>
      </c>
      <c r="D27" s="124">
        <f>C27/C64</f>
        <v>1.5267175572519083E-2</v>
      </c>
      <c r="E27" s="124">
        <f>B27/B64</f>
        <v>3.2158932337846377E-2</v>
      </c>
      <c r="F27" s="19">
        <f t="shared" si="0"/>
        <v>10</v>
      </c>
      <c r="G27" s="190"/>
      <c r="H27" s="21" t="s">
        <v>269</v>
      </c>
      <c r="I27" s="21">
        <v>2009</v>
      </c>
      <c r="J27" s="21" t="s">
        <v>270</v>
      </c>
      <c r="K27" s="21" t="s">
        <v>8</v>
      </c>
      <c r="L27" s="21" t="s">
        <v>75</v>
      </c>
      <c r="M27" s="22">
        <v>11216304</v>
      </c>
      <c r="Q27" s="1"/>
      <c r="T27" s="16"/>
    </row>
    <row r="28" spans="1:23" x14ac:dyDescent="0.25">
      <c r="A28" s="21" t="s">
        <v>229</v>
      </c>
      <c r="B28" s="20">
        <f>SUM(M87:M91)</f>
        <v>165152133</v>
      </c>
      <c r="C28" s="19">
        <f>COUNTIF(L$2:L$265, "*Hourigan Construction*")</f>
        <v>5</v>
      </c>
      <c r="D28" s="124">
        <f>C28/C64</f>
        <v>1.9083969465648856E-2</v>
      </c>
      <c r="E28" s="124">
        <f>B28/B64</f>
        <v>2.6127516997852984E-2</v>
      </c>
      <c r="F28" s="19">
        <f t="shared" si="0"/>
        <v>11</v>
      </c>
      <c r="G28" s="190"/>
      <c r="H28" s="21" t="s">
        <v>269</v>
      </c>
      <c r="I28" s="21">
        <v>2009</v>
      </c>
      <c r="J28" s="21" t="s">
        <v>271</v>
      </c>
      <c r="K28" s="21" t="s">
        <v>8</v>
      </c>
      <c r="L28" s="21" t="s">
        <v>75</v>
      </c>
      <c r="M28" s="22">
        <v>13853380</v>
      </c>
    </row>
    <row r="29" spans="1:23" x14ac:dyDescent="0.25">
      <c r="A29" s="21" t="s">
        <v>215</v>
      </c>
      <c r="B29" s="20">
        <f>SUM(M92)</f>
        <v>16508000</v>
      </c>
      <c r="C29" s="19">
        <f>COUNTIF(L$2:L$265, "*Internal Forces*")</f>
        <v>1</v>
      </c>
      <c r="D29" s="124">
        <f>C29/C64</f>
        <v>3.8167938931297708E-3</v>
      </c>
      <c r="E29" s="124">
        <f>B29/B64</f>
        <v>2.6116105360901214E-3</v>
      </c>
      <c r="F29" s="19">
        <f t="shared" si="0"/>
        <v>28</v>
      </c>
      <c r="G29" s="190"/>
      <c r="H29" s="21" t="s">
        <v>269</v>
      </c>
      <c r="I29" s="21">
        <v>2014</v>
      </c>
      <c r="J29" s="21" t="s">
        <v>273</v>
      </c>
      <c r="K29" s="21" t="s">
        <v>8</v>
      </c>
      <c r="L29" s="21" t="s">
        <v>75</v>
      </c>
      <c r="M29" s="22">
        <v>28876276</v>
      </c>
    </row>
    <row r="30" spans="1:23" x14ac:dyDescent="0.25">
      <c r="A30" s="21" t="s">
        <v>83</v>
      </c>
      <c r="B30" s="20">
        <f>SUM(M93)</f>
        <v>7933000</v>
      </c>
      <c r="C30" s="19">
        <f>COUNTIF(L$2:L$265, "*J.E. Jamerson &amp; Sons*")</f>
        <v>1</v>
      </c>
      <c r="D30" s="124">
        <f>C30/C64</f>
        <v>3.8167938931297708E-3</v>
      </c>
      <c r="E30" s="124">
        <f>B30/B64</f>
        <v>1.2550221942575076E-3</v>
      </c>
      <c r="F30" s="19">
        <f t="shared" si="0"/>
        <v>44</v>
      </c>
      <c r="G30" s="190"/>
      <c r="H30" s="21" t="s">
        <v>269</v>
      </c>
      <c r="I30" s="21">
        <v>2015</v>
      </c>
      <c r="J30" s="21" t="s">
        <v>275</v>
      </c>
      <c r="K30" s="21" t="s">
        <v>8</v>
      </c>
      <c r="L30" s="21" t="s">
        <v>75</v>
      </c>
      <c r="M30" s="22">
        <v>33201000</v>
      </c>
    </row>
    <row r="31" spans="1:23" x14ac:dyDescent="0.25">
      <c r="A31" s="21" t="s">
        <v>424</v>
      </c>
      <c r="B31" s="20">
        <f>SUM(M94:M96)</f>
        <v>43792124</v>
      </c>
      <c r="C31" s="19">
        <f>COUNTIF(L$2:L$265, "*Jamerson-Lewis Construction, Inc.*")</f>
        <v>3</v>
      </c>
      <c r="D31" s="124">
        <f>C31/C64</f>
        <v>1.1450381679389313E-2</v>
      </c>
      <c r="E31" s="124">
        <f>B31/B64</f>
        <v>6.9280332224476056E-3</v>
      </c>
      <c r="F31" s="19">
        <f t="shared" si="0"/>
        <v>18</v>
      </c>
      <c r="G31" s="190"/>
      <c r="H31" s="21" t="s">
        <v>104</v>
      </c>
      <c r="I31" s="21">
        <v>2018</v>
      </c>
      <c r="J31" t="s">
        <v>371</v>
      </c>
      <c r="K31" s="21" t="s">
        <v>8</v>
      </c>
      <c r="L31" s="21" t="s">
        <v>75</v>
      </c>
      <c r="M31" s="22">
        <v>22708530</v>
      </c>
    </row>
    <row r="32" spans="1:23" x14ac:dyDescent="0.25">
      <c r="A32" s="21" t="s">
        <v>380</v>
      </c>
      <c r="B32" s="20">
        <f>SUM(M97)</f>
        <v>11729047</v>
      </c>
      <c r="C32" s="19">
        <f>COUNTIF(L$2:L$265, "*James G. Davis Construction*")</f>
        <v>1</v>
      </c>
      <c r="D32" s="124">
        <f>C32/C64</f>
        <v>3.8167938931297708E-3</v>
      </c>
      <c r="E32" s="124">
        <f>B32/B64</f>
        <v>1.8555671627996262E-3</v>
      </c>
      <c r="F32" s="19">
        <f t="shared" si="0"/>
        <v>37</v>
      </c>
      <c r="G32" s="190"/>
      <c r="H32" s="21" t="s">
        <v>189</v>
      </c>
      <c r="I32" s="21">
        <v>2018</v>
      </c>
      <c r="J32" t="s">
        <v>384</v>
      </c>
      <c r="K32" s="21" t="s">
        <v>8</v>
      </c>
      <c r="L32" s="21" t="s">
        <v>75</v>
      </c>
      <c r="M32" s="22">
        <v>7336670</v>
      </c>
    </row>
    <row r="33" spans="1:13" x14ac:dyDescent="0.25">
      <c r="A33" s="21" t="s">
        <v>27</v>
      </c>
      <c r="B33" s="20">
        <f>SUM(M98)</f>
        <v>6877000</v>
      </c>
      <c r="C33" s="19">
        <f>COUNTIF(L$2:L$265, "*Keller Brothers, Inc.*")</f>
        <v>1</v>
      </c>
      <c r="D33" s="124">
        <f>C33/C64</f>
        <v>3.8167938931297708E-3</v>
      </c>
      <c r="E33" s="124">
        <f>B33/B64</f>
        <v>1.0879601197414444E-3</v>
      </c>
      <c r="F33" s="19">
        <f t="shared" si="0"/>
        <v>50</v>
      </c>
      <c r="G33" s="190"/>
      <c r="H33" s="21" t="s">
        <v>227</v>
      </c>
      <c r="I33" s="21">
        <v>2018</v>
      </c>
      <c r="J33" t="s">
        <v>390</v>
      </c>
      <c r="K33" s="21" t="s">
        <v>8</v>
      </c>
      <c r="L33" s="21" t="s">
        <v>75</v>
      </c>
      <c r="M33" s="22">
        <v>23058000</v>
      </c>
    </row>
    <row r="34" spans="1:13" x14ac:dyDescent="0.25">
      <c r="A34" s="21" t="s">
        <v>388</v>
      </c>
      <c r="B34" s="20">
        <f>M99</f>
        <v>12136212</v>
      </c>
      <c r="C34" s="19">
        <f>COUNTIF(L$2:L$265, "*Kenbridge Construction Co., Inc.*")</f>
        <v>1</v>
      </c>
      <c r="D34" s="124">
        <f>C34/C64</f>
        <v>3.8167938931297708E-3</v>
      </c>
      <c r="E34" s="124">
        <f>B34/B64</f>
        <v>1.9199817741351688E-3</v>
      </c>
      <c r="F34" s="19">
        <f t="shared" si="0"/>
        <v>35</v>
      </c>
      <c r="G34" s="190"/>
      <c r="H34" s="21" t="s">
        <v>47</v>
      </c>
      <c r="I34" s="21">
        <v>2018</v>
      </c>
      <c r="J34" t="s">
        <v>394</v>
      </c>
      <c r="K34" s="21" t="s">
        <v>33</v>
      </c>
      <c r="L34" s="21" t="s">
        <v>75</v>
      </c>
      <c r="M34" s="22">
        <v>12075000</v>
      </c>
    </row>
    <row r="35" spans="1:13" x14ac:dyDescent="0.25">
      <c r="A35" s="21" t="s">
        <v>58</v>
      </c>
      <c r="B35" s="20">
        <f>SUM(M100:M116)</f>
        <v>445660881</v>
      </c>
      <c r="C35" s="19">
        <f>COUNTIF(L$2:L$265, "*Kjellstrom &amp; Lee, Inc.*")</f>
        <v>17</v>
      </c>
      <c r="D35" s="124">
        <f>C35/C64</f>
        <v>6.4885496183206104E-2</v>
      </c>
      <c r="E35" s="124">
        <f>B35/B64</f>
        <v>7.0504764498594968E-2</v>
      </c>
      <c r="F35" s="19">
        <f t="shared" si="0"/>
        <v>5</v>
      </c>
      <c r="G35" s="190"/>
      <c r="H35" s="21" t="s">
        <v>23</v>
      </c>
      <c r="I35" s="21">
        <v>2013</v>
      </c>
      <c r="J35" s="21" t="s">
        <v>41</v>
      </c>
      <c r="K35" s="21" t="s">
        <v>33</v>
      </c>
      <c r="L35" s="21" t="s">
        <v>42</v>
      </c>
      <c r="M35" s="22">
        <v>15056821</v>
      </c>
    </row>
    <row r="36" spans="1:13" x14ac:dyDescent="0.25">
      <c r="A36" s="21" t="s">
        <v>64</v>
      </c>
      <c r="B36" s="20">
        <f>SUM(M117)</f>
        <v>7698400</v>
      </c>
      <c r="C36" s="19">
        <f>COUNTIF(L$2:L$265, "*Lantz Construction Company*")</f>
        <v>1</v>
      </c>
      <c r="D36" s="124">
        <f>C36/C64</f>
        <v>3.8167938931297708E-3</v>
      </c>
      <c r="E36" s="124">
        <f>B36/B64</f>
        <v>1.2179078356576321E-3</v>
      </c>
      <c r="F36" s="19">
        <f t="shared" si="0"/>
        <v>45</v>
      </c>
      <c r="G36" s="190"/>
      <c r="H36" s="21" t="s">
        <v>73</v>
      </c>
      <c r="I36" s="21">
        <v>2013</v>
      </c>
      <c r="J36" s="21" t="s">
        <v>78</v>
      </c>
      <c r="K36" s="21" t="s">
        <v>19</v>
      </c>
      <c r="L36" s="21" t="s">
        <v>79</v>
      </c>
      <c r="M36" s="22">
        <v>6905660</v>
      </c>
    </row>
    <row r="37" spans="1:13" x14ac:dyDescent="0.25">
      <c r="A37" s="21" t="s">
        <v>166</v>
      </c>
      <c r="B37" s="20">
        <f>SUM(M118)</f>
        <v>5775000</v>
      </c>
      <c r="C37" s="19">
        <f>COUNTIF(L$2:L$265, "*M.C. Dean, Inc.*")</f>
        <v>1</v>
      </c>
      <c r="D37" s="124">
        <f>C37/C64</f>
        <v>3.8167938931297708E-3</v>
      </c>
      <c r="E37" s="124">
        <f>B37/B64</f>
        <v>9.1362072000971968E-4</v>
      </c>
      <c r="F37" s="19">
        <f t="shared" si="0"/>
        <v>58</v>
      </c>
      <c r="G37" s="190"/>
      <c r="H37" s="21" t="s">
        <v>191</v>
      </c>
      <c r="I37" s="21">
        <v>2013</v>
      </c>
      <c r="J37" s="21" t="s">
        <v>216</v>
      </c>
      <c r="K37" s="21" t="s">
        <v>217</v>
      </c>
      <c r="L37" s="21" t="s">
        <v>218</v>
      </c>
      <c r="M37" s="22">
        <v>14000000</v>
      </c>
    </row>
    <row r="38" spans="1:13" x14ac:dyDescent="0.25">
      <c r="A38" s="21" t="s">
        <v>150</v>
      </c>
      <c r="B38" s="20">
        <f>SUM(M119:M120)</f>
        <v>14261497</v>
      </c>
      <c r="C38" s="19">
        <f>COUNTIF(L$2:L$265, "*Martin Horn, Inc.*")</f>
        <v>2</v>
      </c>
      <c r="D38" s="124">
        <f>C38/C64</f>
        <v>7.6335877862595417E-3</v>
      </c>
      <c r="E38" s="124">
        <f>B38/B64</f>
        <v>2.2562076463301223E-3</v>
      </c>
      <c r="F38" s="19">
        <f t="shared" si="0"/>
        <v>31</v>
      </c>
      <c r="G38" s="190"/>
      <c r="H38" s="21" t="s">
        <v>73</v>
      </c>
      <c r="I38" s="21">
        <v>2009</v>
      </c>
      <c r="J38" s="21" t="s">
        <v>76</v>
      </c>
      <c r="K38" s="21" t="s">
        <v>19</v>
      </c>
      <c r="L38" s="21" t="s">
        <v>77</v>
      </c>
      <c r="M38" s="22">
        <v>16519000</v>
      </c>
    </row>
    <row r="39" spans="1:13" x14ac:dyDescent="0.25">
      <c r="A39" s="21" t="s">
        <v>392</v>
      </c>
      <c r="B39" s="20">
        <f>M121</f>
        <v>14713173</v>
      </c>
      <c r="C39" s="19">
        <f>COUNTIF(L$2:L$260, "*McKenzie Construction Corporation*")</f>
        <v>1</v>
      </c>
      <c r="D39" s="124">
        <f>C39/C64</f>
        <v>3.8167938931297708E-3</v>
      </c>
      <c r="E39" s="124">
        <f>B39/B64</f>
        <v>2.3276640190281503E-3</v>
      </c>
      <c r="F39" s="19">
        <f t="shared" si="0"/>
        <v>30</v>
      </c>
      <c r="G39" s="190"/>
      <c r="H39" s="21" t="s">
        <v>129</v>
      </c>
      <c r="I39" s="21">
        <v>2009</v>
      </c>
      <c r="J39" s="21" t="s">
        <v>170</v>
      </c>
      <c r="K39" s="21" t="s">
        <v>8</v>
      </c>
      <c r="L39" s="21" t="s">
        <v>171</v>
      </c>
      <c r="M39" s="22">
        <v>10833637</v>
      </c>
    </row>
    <row r="40" spans="1:13" x14ac:dyDescent="0.25">
      <c r="A40" s="21" t="s">
        <v>282</v>
      </c>
      <c r="B40" s="20">
        <f>SUM(M122:M123)</f>
        <v>18944315</v>
      </c>
      <c r="C40" s="19">
        <f>COUNTIF(L$2:L$265, "*Mid-Atlantic Infrastructure*")</f>
        <v>2</v>
      </c>
      <c r="D40" s="124">
        <f>C40/C64</f>
        <v>7.6335877862595417E-3</v>
      </c>
      <c r="E40" s="124">
        <f>B40/B64</f>
        <v>2.9970422009334948E-3</v>
      </c>
      <c r="F40" s="19">
        <f t="shared" si="0"/>
        <v>24</v>
      </c>
      <c r="G40" s="190"/>
      <c r="H40" s="21" t="s">
        <v>23</v>
      </c>
      <c r="I40" s="21">
        <v>2012</v>
      </c>
      <c r="J40" s="21" t="s">
        <v>24</v>
      </c>
      <c r="K40" s="21" t="s">
        <v>8</v>
      </c>
      <c r="L40" s="21" t="s">
        <v>49</v>
      </c>
      <c r="M40" s="22">
        <v>40567069</v>
      </c>
    </row>
    <row r="41" spans="1:13" x14ac:dyDescent="0.25">
      <c r="A41" s="21" t="s">
        <v>220</v>
      </c>
      <c r="B41" s="20">
        <f>SUM(M124:M125)</f>
        <v>68600000</v>
      </c>
      <c r="C41" s="19">
        <f>COUNTIF(L$2:L$265, "*n/a*")</f>
        <v>2</v>
      </c>
      <c r="D41" s="124">
        <f>C41/C64</f>
        <v>7.6335877862595417E-3</v>
      </c>
      <c r="E41" s="124">
        <f>B41/B64</f>
        <v>1.0852706734660912E-2</v>
      </c>
      <c r="F41" s="19">
        <f t="shared" si="0"/>
        <v>14</v>
      </c>
      <c r="G41" s="190"/>
      <c r="H41" s="21" t="s">
        <v>47</v>
      </c>
      <c r="I41" s="21">
        <v>2008</v>
      </c>
      <c r="J41" s="21" t="s">
        <v>48</v>
      </c>
      <c r="K41" s="21" t="s">
        <v>8</v>
      </c>
      <c r="L41" s="21" t="s">
        <v>49</v>
      </c>
      <c r="M41" s="22">
        <v>18768000</v>
      </c>
    </row>
    <row r="42" spans="1:13" x14ac:dyDescent="0.25">
      <c r="A42" s="21" t="s">
        <v>61</v>
      </c>
      <c r="B42" s="20">
        <f>SUM(M126:M130)</f>
        <v>78934982</v>
      </c>
      <c r="C42" s="19">
        <f>COUNTIF(L$2:L$265, "*Nielsen Builders, Inc.*")</f>
        <v>5</v>
      </c>
      <c r="D42" s="124">
        <f>C42/C64</f>
        <v>1.9083969465648856E-2</v>
      </c>
      <c r="E42" s="124">
        <f>B42/B64</f>
        <v>1.2487729019704633E-2</v>
      </c>
      <c r="F42" s="19">
        <f t="shared" si="0"/>
        <v>13</v>
      </c>
      <c r="G42" s="190"/>
      <c r="H42" s="21" t="s">
        <v>47</v>
      </c>
      <c r="I42" s="21">
        <v>2009</v>
      </c>
      <c r="J42" s="21" t="s">
        <v>50</v>
      </c>
      <c r="K42" s="21" t="s">
        <v>8</v>
      </c>
      <c r="L42" s="21" t="s">
        <v>49</v>
      </c>
      <c r="M42" s="22">
        <v>53950000</v>
      </c>
    </row>
    <row r="43" spans="1:13" x14ac:dyDescent="0.25">
      <c r="A43" s="21" t="s">
        <v>103</v>
      </c>
      <c r="B43" s="20">
        <f>SUM(M131)</f>
        <v>6592833</v>
      </c>
      <c r="C43" s="19">
        <f>COUNTIF(L$2:L$265, "*P. G. Harris Construction Co.*")</f>
        <v>1</v>
      </c>
      <c r="D43" s="124">
        <f>C43/C64</f>
        <v>3.8167938931297708E-3</v>
      </c>
      <c r="E43" s="124">
        <f>B43/B64</f>
        <v>1.0430041268162493E-3</v>
      </c>
      <c r="F43" s="19">
        <f t="shared" si="0"/>
        <v>51</v>
      </c>
      <c r="G43" s="190"/>
      <c r="H43" s="21" t="s">
        <v>47</v>
      </c>
      <c r="I43" s="21">
        <v>2010</v>
      </c>
      <c r="J43" s="21" t="s">
        <v>53</v>
      </c>
      <c r="K43" s="21" t="s">
        <v>8</v>
      </c>
      <c r="L43" s="21" t="s">
        <v>49</v>
      </c>
      <c r="M43" s="22">
        <v>11394000</v>
      </c>
    </row>
    <row r="44" spans="1:13" x14ac:dyDescent="0.25">
      <c r="A44" s="21" t="s">
        <v>115</v>
      </c>
      <c r="B44" s="20">
        <f>SUM(M132)</f>
        <v>6424000</v>
      </c>
      <c r="C44" s="19">
        <f>COUNTIF(L$2:L$265, "*Price Building &amp; MB Contracting*")</f>
        <v>1</v>
      </c>
      <c r="D44" s="124">
        <f>C44/C64</f>
        <v>3.8167938931297708E-3</v>
      </c>
      <c r="E44" s="124">
        <f>B44/B64</f>
        <v>1.0162942866393833E-3</v>
      </c>
      <c r="F44" s="19">
        <f t="shared" si="0"/>
        <v>54</v>
      </c>
      <c r="G44" s="190"/>
      <c r="H44" s="21" t="s">
        <v>47</v>
      </c>
      <c r="I44" s="21">
        <v>2013</v>
      </c>
      <c r="J44" s="21" t="s">
        <v>56</v>
      </c>
      <c r="K44" s="21" t="s">
        <v>8</v>
      </c>
      <c r="L44" s="21" t="s">
        <v>49</v>
      </c>
      <c r="M44" s="22">
        <v>38996387</v>
      </c>
    </row>
    <row r="45" spans="1:13" x14ac:dyDescent="0.25">
      <c r="A45" s="21" t="s">
        <v>134</v>
      </c>
      <c r="B45" s="20">
        <f>SUM(M133:M135)</f>
        <v>42514691</v>
      </c>
      <c r="C45" s="19">
        <f>COUNTIF(L$2:L$265, "*Quesenberry's Construction*")</f>
        <v>3</v>
      </c>
      <c r="D45" s="124">
        <f>C45/C64</f>
        <v>1.1450381679389313E-2</v>
      </c>
      <c r="E45" s="124">
        <f>B45/B64</f>
        <v>6.7259398445732891E-3</v>
      </c>
      <c r="F45" s="19">
        <f t="shared" si="0"/>
        <v>20</v>
      </c>
      <c r="G45" s="190"/>
      <c r="H45" s="21" t="s">
        <v>119</v>
      </c>
      <c r="I45" s="21">
        <v>2010</v>
      </c>
      <c r="J45" s="21" t="s">
        <v>128</v>
      </c>
      <c r="K45" s="21" t="s">
        <v>44</v>
      </c>
      <c r="L45" s="21" t="s">
        <v>49</v>
      </c>
      <c r="M45" s="22">
        <v>44642328</v>
      </c>
    </row>
    <row r="46" spans="1:13" x14ac:dyDescent="0.25">
      <c r="A46" s="21" t="s">
        <v>185</v>
      </c>
      <c r="B46" s="20">
        <f>SUM(M136)</f>
        <v>8080574</v>
      </c>
      <c r="C46" s="19">
        <f>COUNTIF(L$2:L$265, "*R.E. Lee &amp; Sons, Inc.*")</f>
        <v>1</v>
      </c>
      <c r="D46" s="124">
        <f>C46/C64</f>
        <v>3.8167938931297708E-3</v>
      </c>
      <c r="E46" s="124">
        <f>B46/B64</f>
        <v>1.2783688027656831E-3</v>
      </c>
      <c r="F46" s="19">
        <f t="shared" si="0"/>
        <v>43</v>
      </c>
      <c r="G46" s="190"/>
      <c r="H46" s="21" t="s">
        <v>129</v>
      </c>
      <c r="I46" s="21">
        <v>2013</v>
      </c>
      <c r="J46" s="21" t="s">
        <v>148</v>
      </c>
      <c r="K46" s="21" t="s">
        <v>8</v>
      </c>
      <c r="L46" s="21" t="s">
        <v>49</v>
      </c>
      <c r="M46" s="22">
        <v>17418193</v>
      </c>
    </row>
    <row r="47" spans="1:13" x14ac:dyDescent="0.25">
      <c r="A47" s="21" t="s">
        <v>430</v>
      </c>
      <c r="B47" s="20">
        <f>SUM(M137)</f>
        <v>6518658</v>
      </c>
      <c r="C47" s="19">
        <f>COUNTIF(L$2:L$265, "*Renascent, Inc.*")</f>
        <v>1</v>
      </c>
      <c r="D47" s="124">
        <f>C47/C64</f>
        <v>3.8167938931297708E-3</v>
      </c>
      <c r="E47" s="124">
        <f>B47/B64</f>
        <v>1.0312694399059947E-3</v>
      </c>
      <c r="F47" s="19">
        <f t="shared" si="0"/>
        <v>53</v>
      </c>
      <c r="G47" s="190"/>
      <c r="H47" s="21" t="s">
        <v>129</v>
      </c>
      <c r="I47" s="21">
        <v>2014</v>
      </c>
      <c r="J47" s="21" t="s">
        <v>154</v>
      </c>
      <c r="K47" s="21" t="s">
        <v>8</v>
      </c>
      <c r="L47" s="21" t="s">
        <v>49</v>
      </c>
      <c r="M47" s="22">
        <v>20687149</v>
      </c>
    </row>
    <row r="48" spans="1:13" x14ac:dyDescent="0.25">
      <c r="A48" s="21" t="s">
        <v>173</v>
      </c>
      <c r="B48" s="20">
        <f>SUM(M138)</f>
        <v>10413942</v>
      </c>
      <c r="C48" s="19">
        <f>COUNTIF(L$2:L$265, "*Riddleberger Brothers, Inc.*")</f>
        <v>1</v>
      </c>
      <c r="D48" s="124">
        <f>C48/C64</f>
        <v>3.8167938931297708E-3</v>
      </c>
      <c r="E48" s="124">
        <f>B48/B64</f>
        <v>1.6475139719791271E-3</v>
      </c>
      <c r="F48" s="19">
        <f t="shared" si="0"/>
        <v>41</v>
      </c>
      <c r="G48" s="190"/>
      <c r="H48" s="21" t="s">
        <v>129</v>
      </c>
      <c r="I48" s="21">
        <v>2012</v>
      </c>
      <c r="J48" s="21" t="s">
        <v>156</v>
      </c>
      <c r="K48" s="21" t="s">
        <v>8</v>
      </c>
      <c r="L48" s="21" t="s">
        <v>49</v>
      </c>
      <c r="M48" s="22">
        <v>8457224</v>
      </c>
    </row>
    <row r="49" spans="1:13" x14ac:dyDescent="0.25">
      <c r="A49" s="21" t="s">
        <v>69</v>
      </c>
      <c r="B49" s="20">
        <f>SUM(M139:M154)</f>
        <v>589345019</v>
      </c>
      <c r="C49" s="19">
        <f>COUNTIF(L$2:L$265, "*S.B. Ballard Construction Company*")</f>
        <v>16</v>
      </c>
      <c r="D49" s="124">
        <f>C49/C64</f>
        <v>6.1068702290076333E-2</v>
      </c>
      <c r="E49" s="124">
        <f>B49/B64</f>
        <v>9.3235986249856601E-2</v>
      </c>
      <c r="F49" s="19">
        <f t="shared" si="0"/>
        <v>4</v>
      </c>
      <c r="G49" s="190"/>
      <c r="H49" s="21" t="s">
        <v>129</v>
      </c>
      <c r="I49" s="21">
        <v>2012</v>
      </c>
      <c r="J49" s="21" t="s">
        <v>157</v>
      </c>
      <c r="K49" s="21" t="s">
        <v>8</v>
      </c>
      <c r="L49" s="21" t="s">
        <v>49</v>
      </c>
      <c r="M49" s="22">
        <v>11826727</v>
      </c>
    </row>
    <row r="50" spans="1:13" x14ac:dyDescent="0.25">
      <c r="A50" s="19" t="s">
        <v>125</v>
      </c>
      <c r="B50" s="20">
        <f>SUM(M155:M156)</f>
        <v>18659470</v>
      </c>
      <c r="C50" s="19">
        <f>COUNTIF(L$2:L$265, "*Sigal Construction Corp.*")</f>
        <v>2</v>
      </c>
      <c r="D50" s="124">
        <f>C50/C64</f>
        <v>7.6335877862595417E-3</v>
      </c>
      <c r="E50" s="124">
        <f>B50/B64</f>
        <v>2.9519789465627297E-3</v>
      </c>
      <c r="F50" s="19">
        <f t="shared" si="0"/>
        <v>26</v>
      </c>
      <c r="G50" s="190"/>
      <c r="H50" s="21" t="s">
        <v>129</v>
      </c>
      <c r="I50" s="21">
        <v>2008</v>
      </c>
      <c r="J50" s="21" t="s">
        <v>162</v>
      </c>
      <c r="K50" s="21" t="s">
        <v>8</v>
      </c>
      <c r="L50" s="21" t="s">
        <v>49</v>
      </c>
      <c r="M50" s="22">
        <v>25897000</v>
      </c>
    </row>
    <row r="51" spans="1:13" x14ac:dyDescent="0.25">
      <c r="A51" s="21" t="s">
        <v>52</v>
      </c>
      <c r="B51" s="20">
        <f>SUM(M157:M172)</f>
        <v>596417401</v>
      </c>
      <c r="C51" s="19">
        <f>COUNTIF(L$2:L$265, "*Skanska USA Building*")</f>
        <v>16</v>
      </c>
      <c r="D51" s="124">
        <f>C51/C64</f>
        <v>6.1068702290076333E-2</v>
      </c>
      <c r="E51" s="124">
        <f>B51/B64</f>
        <v>9.4354856333843412E-2</v>
      </c>
      <c r="F51" s="19">
        <f t="shared" si="0"/>
        <v>3</v>
      </c>
      <c r="G51" s="190"/>
      <c r="H51" s="21" t="s">
        <v>249</v>
      </c>
      <c r="I51" s="21">
        <v>2011</v>
      </c>
      <c r="J51" s="21" t="s">
        <v>262</v>
      </c>
      <c r="K51" s="21" t="s">
        <v>33</v>
      </c>
      <c r="L51" s="21" t="s">
        <v>49</v>
      </c>
      <c r="M51" s="22">
        <v>12684274</v>
      </c>
    </row>
    <row r="52" spans="1:13" x14ac:dyDescent="0.25">
      <c r="A52" s="21" t="s">
        <v>266</v>
      </c>
      <c r="B52" s="20">
        <f>SUM(M173:M174)</f>
        <v>19539751</v>
      </c>
      <c r="C52" s="19">
        <f>COUNTIF(L$2:L$265, "*SRC, Inc.*")</f>
        <v>2</v>
      </c>
      <c r="D52" s="124">
        <f>C52/C64</f>
        <v>7.6335877862595417E-3</v>
      </c>
      <c r="E52" s="124">
        <f>B52/B64</f>
        <v>3.0912417969576863E-3</v>
      </c>
      <c r="F52" s="19">
        <f t="shared" si="0"/>
        <v>23</v>
      </c>
      <c r="G52" s="190"/>
      <c r="H52" s="21" t="s">
        <v>277</v>
      </c>
      <c r="I52" s="21">
        <v>2008</v>
      </c>
      <c r="J52" s="21" t="s">
        <v>278</v>
      </c>
      <c r="K52" s="21" t="s">
        <v>8</v>
      </c>
      <c r="L52" s="21" t="s">
        <v>49</v>
      </c>
      <c r="M52" s="22">
        <v>8625147</v>
      </c>
    </row>
    <row r="53" spans="1:13" x14ac:dyDescent="0.25">
      <c r="A53" s="21" t="s">
        <v>164</v>
      </c>
      <c r="B53" s="20">
        <f>SUM(M175)</f>
        <v>7542100</v>
      </c>
      <c r="C53" s="19">
        <f>COUNTIF(L$2:L$265, "*Sullivan Mechanical Contractors, Inc.*")</f>
        <v>1</v>
      </c>
      <c r="D53" s="124">
        <f>C53/C64</f>
        <v>3.8167938931297708E-3</v>
      </c>
      <c r="E53" s="124">
        <f>B53/B64</f>
        <v>1.1931807501965898E-3</v>
      </c>
      <c r="F53" s="19">
        <f t="shared" si="0"/>
        <v>46</v>
      </c>
      <c r="G53" s="190"/>
      <c r="H53" s="21" t="s">
        <v>227</v>
      </c>
      <c r="I53" s="21">
        <v>2017</v>
      </c>
      <c r="J53" s="21" t="s">
        <v>230</v>
      </c>
      <c r="K53" s="21" t="s">
        <v>8</v>
      </c>
      <c r="L53" s="21" t="s">
        <v>49</v>
      </c>
      <c r="M53" s="22">
        <v>26416758</v>
      </c>
    </row>
    <row r="54" spans="1:13" x14ac:dyDescent="0.25">
      <c r="A54" s="21" t="s">
        <v>445</v>
      </c>
      <c r="B54" s="20">
        <f>SUM(M176)</f>
        <v>5489874</v>
      </c>
      <c r="C54" s="19">
        <f>COUNTIF(L$2:L$265, "*Team Henry Enterprises*")</f>
        <v>1</v>
      </c>
      <c r="D54" s="124">
        <f>C54/C64</f>
        <v>3.8167938931297708E-3</v>
      </c>
      <c r="E54" s="124">
        <f>B54/B64</f>
        <v>8.6851301067405009E-4</v>
      </c>
      <c r="F54" s="19">
        <f t="shared" si="0"/>
        <v>60</v>
      </c>
      <c r="G54" s="190"/>
      <c r="H54" s="21" t="s">
        <v>119</v>
      </c>
      <c r="I54" s="21">
        <v>2017</v>
      </c>
      <c r="J54" s="21" t="s">
        <v>397</v>
      </c>
      <c r="K54" s="21" t="s">
        <v>8</v>
      </c>
      <c r="L54" s="21" t="s">
        <v>49</v>
      </c>
      <c r="M54" s="22">
        <v>24280680</v>
      </c>
    </row>
    <row r="55" spans="1:13" x14ac:dyDescent="0.25">
      <c r="A55" s="21" t="s">
        <v>136</v>
      </c>
      <c r="B55" s="20">
        <f>SUM(M177:M181)</f>
        <v>45027980</v>
      </c>
      <c r="C55" s="19">
        <f>COUNTIF(L$2:L$265, "*The Christman Company*")</f>
        <v>5</v>
      </c>
      <c r="D55" s="124">
        <f>C55/C64</f>
        <v>1.9083969465648856E-2</v>
      </c>
      <c r="E55" s="124">
        <f>B55/B64</f>
        <v>7.1235490057460181E-3</v>
      </c>
      <c r="F55" s="19">
        <f t="shared" si="0"/>
        <v>17</v>
      </c>
      <c r="G55" s="190"/>
      <c r="H55" s="21" t="s">
        <v>129</v>
      </c>
      <c r="I55" s="21">
        <v>2010</v>
      </c>
      <c r="J55" s="21" t="s">
        <v>140</v>
      </c>
      <c r="K55" s="21" t="s">
        <v>8</v>
      </c>
      <c r="L55" s="21" t="s">
        <v>141</v>
      </c>
      <c r="M55" s="22">
        <v>19198486</v>
      </c>
    </row>
    <row r="56" spans="1:13" x14ac:dyDescent="0.25">
      <c r="A56" s="21" t="s">
        <v>110</v>
      </c>
      <c r="B56" s="20">
        <f>SUM(M182:M183)</f>
        <v>18761000</v>
      </c>
      <c r="C56" s="19">
        <f>COUNTIF(L$2:L$265, "*Thor, Inc.*")</f>
        <v>2</v>
      </c>
      <c r="D56" s="124">
        <f>C56/C64</f>
        <v>7.6335877862595417E-3</v>
      </c>
      <c r="E56" s="124">
        <f>B56/B64</f>
        <v>2.9680412689354718E-3</v>
      </c>
      <c r="F56" s="19">
        <f t="shared" si="0"/>
        <v>25</v>
      </c>
      <c r="G56" s="190"/>
      <c r="H56" s="21" t="s">
        <v>191</v>
      </c>
      <c r="I56" s="21">
        <v>2011</v>
      </c>
      <c r="J56" s="21" t="s">
        <v>211</v>
      </c>
      <c r="K56" s="21" t="s">
        <v>33</v>
      </c>
      <c r="L56" s="21" t="s">
        <v>141</v>
      </c>
      <c r="M56" s="22">
        <v>10780000</v>
      </c>
    </row>
    <row r="57" spans="1:13" x14ac:dyDescent="0.25">
      <c r="A57" s="21" t="s">
        <v>29</v>
      </c>
      <c r="B57" s="20">
        <f>SUM(M184)</f>
        <v>5825000</v>
      </c>
      <c r="C57" s="19">
        <f>COUNTIF(L$2:L$265, "*Tuckman-Barbee Construction Co*")</f>
        <v>1</v>
      </c>
      <c r="D57" s="124">
        <f>C57/C64</f>
        <v>3.8167938931297708E-3</v>
      </c>
      <c r="E57" s="124">
        <f>B57/B64</f>
        <v>9.2153085611369984E-4</v>
      </c>
      <c r="F57" s="19">
        <f t="shared" si="0"/>
        <v>57</v>
      </c>
      <c r="G57" s="190"/>
      <c r="H57" s="21" t="s">
        <v>277</v>
      </c>
      <c r="I57" s="21">
        <v>2016</v>
      </c>
      <c r="J57" s="21" t="s">
        <v>406</v>
      </c>
      <c r="K57" s="21" t="s">
        <v>8</v>
      </c>
      <c r="L57" s="21" t="s">
        <v>141</v>
      </c>
      <c r="M57" s="22">
        <v>30254000</v>
      </c>
    </row>
    <row r="58" spans="1:13" x14ac:dyDescent="0.25">
      <c r="A58" s="21" t="s">
        <v>45</v>
      </c>
      <c r="B58" s="20">
        <f>SUM(M185)</f>
        <v>50292000</v>
      </c>
      <c r="C58" s="19">
        <f>COUNTIF(L$2:L$265, "*University Hotel Partners, LLC.*")</f>
        <v>1</v>
      </c>
      <c r="D58" s="124">
        <f>C58/C64</f>
        <v>3.8167938931297708E-3</v>
      </c>
      <c r="E58" s="124">
        <f>B58/B64</f>
        <v>7.9563312988275015E-3</v>
      </c>
      <c r="F58" s="19">
        <f t="shared" si="0"/>
        <v>16</v>
      </c>
      <c r="G58" s="190"/>
      <c r="H58" s="21" t="s">
        <v>23</v>
      </c>
      <c r="I58" s="21">
        <v>2012</v>
      </c>
      <c r="J58" s="21" t="s">
        <v>38</v>
      </c>
      <c r="K58" s="21" t="s">
        <v>33</v>
      </c>
      <c r="L58" s="21" t="s">
        <v>39</v>
      </c>
      <c r="M58" s="22">
        <v>12080000</v>
      </c>
    </row>
    <row r="59" spans="1:13" x14ac:dyDescent="0.25">
      <c r="A59" s="21" t="s">
        <v>9</v>
      </c>
      <c r="B59" s="20">
        <f>SUM(M186:M227)</f>
        <v>932766934</v>
      </c>
      <c r="C59" s="19">
        <f>COUNTIF(L$2:L$265, "*W.M. Jordan Company, Inc.*")</f>
        <v>42</v>
      </c>
      <c r="D59" s="124">
        <f>C59/C64</f>
        <v>0.16030534351145037</v>
      </c>
      <c r="E59" s="124">
        <f>B59/B64</f>
        <v>0.1475662680246474</v>
      </c>
      <c r="F59" s="19">
        <f t="shared" si="0"/>
        <v>2</v>
      </c>
      <c r="G59" s="190"/>
      <c r="H59" s="21" t="s">
        <v>6</v>
      </c>
      <c r="I59" s="21">
        <v>2016</v>
      </c>
      <c r="J59" s="21" t="s">
        <v>20</v>
      </c>
      <c r="K59" s="21" t="s">
        <v>19</v>
      </c>
      <c r="L59" s="21" t="s">
        <v>21</v>
      </c>
      <c r="M59" s="22">
        <v>9500000</v>
      </c>
    </row>
    <row r="60" spans="1:13" x14ac:dyDescent="0.25">
      <c r="A60" s="21" t="s">
        <v>88</v>
      </c>
      <c r="B60" s="20">
        <f>SUM(M228)</f>
        <v>5192800</v>
      </c>
      <c r="C60" s="19">
        <f>COUNTIF(L$2:L$265, "*WACO, Inc.*")</f>
        <v>1</v>
      </c>
      <c r="D60" s="124">
        <f>C60/C64</f>
        <v>3.8167938931297708E-3</v>
      </c>
      <c r="E60" s="124">
        <f>B60/B64</f>
        <v>8.2151509521497348E-4</v>
      </c>
      <c r="F60" s="19">
        <f t="shared" si="0"/>
        <v>61</v>
      </c>
      <c r="G60" s="190"/>
      <c r="H60" s="21" t="s">
        <v>73</v>
      </c>
      <c r="I60" s="21">
        <v>2013</v>
      </c>
      <c r="J60" s="21" t="s">
        <v>80</v>
      </c>
      <c r="K60" s="21" t="s">
        <v>19</v>
      </c>
      <c r="L60" s="21" t="s">
        <v>81</v>
      </c>
      <c r="M60" s="22">
        <v>12325000</v>
      </c>
    </row>
    <row r="61" spans="1:13" x14ac:dyDescent="0.25">
      <c r="A61" s="21" t="s">
        <v>420</v>
      </c>
      <c r="B61" s="20">
        <f>M229</f>
        <v>5550474</v>
      </c>
      <c r="C61" s="19">
        <f>COUNTIF(L$2:L$265, "*Warwick Mechanical*")</f>
        <v>1</v>
      </c>
      <c r="D61" s="124">
        <f>C61/C64</f>
        <v>3.8167938931297708E-3</v>
      </c>
      <c r="E61" s="124">
        <f>B61/B64</f>
        <v>8.7810009563207424E-4</v>
      </c>
      <c r="F61" s="19">
        <f t="shared" si="0"/>
        <v>59</v>
      </c>
      <c r="G61" s="190"/>
      <c r="H61" s="21" t="s">
        <v>129</v>
      </c>
      <c r="I61" s="21">
        <v>2008</v>
      </c>
      <c r="J61" s="21" t="s">
        <v>159</v>
      </c>
      <c r="K61" s="21" t="s">
        <v>8</v>
      </c>
      <c r="L61" s="21" t="s">
        <v>160</v>
      </c>
      <c r="M61" s="22">
        <v>6958920</v>
      </c>
    </row>
    <row r="62" spans="1:13" x14ac:dyDescent="0.25">
      <c r="A62" s="21" t="s">
        <v>11</v>
      </c>
      <c r="B62" s="20">
        <f>SUM(M230:M263)</f>
        <v>1168712844</v>
      </c>
      <c r="C62" s="19">
        <f>COUNTIF(L$2:L$265, "*Whiting-Turner Contracting Co*")</f>
        <v>34</v>
      </c>
      <c r="D62" s="124">
        <f>C62/C64</f>
        <v>0.12977099236641221</v>
      </c>
      <c r="E62" s="124">
        <f>B62/B64</f>
        <v>0.18489355325019691</v>
      </c>
      <c r="F62" s="19">
        <f t="shared" si="0"/>
        <v>1</v>
      </c>
      <c r="G62" s="190"/>
      <c r="H62" s="21" t="s">
        <v>73</v>
      </c>
      <c r="I62" s="21">
        <v>2020</v>
      </c>
      <c r="J62" s="21" t="s">
        <v>425</v>
      </c>
      <c r="K62" s="21" t="s">
        <v>19</v>
      </c>
      <c r="L62" s="21" t="s">
        <v>160</v>
      </c>
      <c r="M62" s="22">
        <v>5192800</v>
      </c>
    </row>
    <row r="63" spans="1:13" ht="15.75" thickBot="1" x14ac:dyDescent="0.3">
      <c r="A63" s="28"/>
      <c r="B63" s="28"/>
      <c r="C63" s="28"/>
      <c r="D63" s="28"/>
      <c r="E63" s="28"/>
      <c r="G63" s="190"/>
      <c r="H63" s="21" t="s">
        <v>104</v>
      </c>
      <c r="I63" s="21">
        <v>2012</v>
      </c>
      <c r="J63" s="21" t="s">
        <v>111</v>
      </c>
      <c r="K63" s="21" t="s">
        <v>19</v>
      </c>
      <c r="L63" s="21" t="s">
        <v>112</v>
      </c>
      <c r="M63" s="22">
        <v>7800000</v>
      </c>
    </row>
    <row r="64" spans="1:13" x14ac:dyDescent="0.25">
      <c r="A64" s="92" t="s">
        <v>349</v>
      </c>
      <c r="B64" s="84">
        <f>SUM(B2:B62)</f>
        <v>6321003753</v>
      </c>
      <c r="C64" s="36">
        <f>SUM(C2:C63)</f>
        <v>262</v>
      </c>
      <c r="D64" s="93">
        <f>SUM(D2:D62)</f>
        <v>0.99999999999999967</v>
      </c>
      <c r="E64" s="93">
        <f>SUM(E2:E62)</f>
        <v>1</v>
      </c>
      <c r="G64" s="190"/>
      <c r="H64" s="21" t="s">
        <v>104</v>
      </c>
      <c r="I64" s="21">
        <v>2014</v>
      </c>
      <c r="J64" s="21" t="s">
        <v>113</v>
      </c>
      <c r="K64" s="21" t="s">
        <v>19</v>
      </c>
      <c r="L64" s="21" t="s">
        <v>112</v>
      </c>
      <c r="M64" s="22">
        <v>23275715</v>
      </c>
    </row>
    <row r="65" spans="1:13" x14ac:dyDescent="0.25">
      <c r="G65" s="190"/>
      <c r="H65" s="21" t="s">
        <v>104</v>
      </c>
      <c r="I65" s="21">
        <v>2016</v>
      </c>
      <c r="J65" s="21" t="s">
        <v>117</v>
      </c>
      <c r="K65" s="21" t="s">
        <v>33</v>
      </c>
      <c r="L65" s="21" t="s">
        <v>112</v>
      </c>
      <c r="M65" s="22">
        <v>5643936</v>
      </c>
    </row>
    <row r="66" spans="1:13" x14ac:dyDescent="0.25">
      <c r="G66" s="190"/>
      <c r="H66" s="21" t="s">
        <v>104</v>
      </c>
      <c r="I66" s="21">
        <v>2016</v>
      </c>
      <c r="J66" s="21" t="s">
        <v>118</v>
      </c>
      <c r="K66" s="21" t="s">
        <v>33</v>
      </c>
      <c r="L66" s="21" t="s">
        <v>112</v>
      </c>
      <c r="M66" s="22">
        <v>6380309</v>
      </c>
    </row>
    <row r="67" spans="1:13" x14ac:dyDescent="0.25">
      <c r="G67" s="190"/>
      <c r="H67" s="21" t="s">
        <v>129</v>
      </c>
      <c r="I67" s="21">
        <v>2012</v>
      </c>
      <c r="J67" s="21" t="s">
        <v>145</v>
      </c>
      <c r="K67" s="21" t="s">
        <v>8</v>
      </c>
      <c r="L67" s="21" t="s">
        <v>146</v>
      </c>
      <c r="M67" s="22">
        <v>9134220</v>
      </c>
    </row>
    <row r="68" spans="1:13" x14ac:dyDescent="0.25">
      <c r="G68" s="190"/>
      <c r="H68" s="21" t="s">
        <v>129</v>
      </c>
      <c r="I68" s="21">
        <v>2012</v>
      </c>
      <c r="J68" s="21" t="s">
        <v>147</v>
      </c>
      <c r="K68" s="21" t="s">
        <v>8</v>
      </c>
      <c r="L68" s="21" t="s">
        <v>146</v>
      </c>
      <c r="M68" s="22">
        <v>11307704</v>
      </c>
    </row>
    <row r="69" spans="1:13" x14ac:dyDescent="0.25">
      <c r="G69" s="190"/>
      <c r="H69" s="21" t="s">
        <v>129</v>
      </c>
      <c r="I69" s="21">
        <v>2017</v>
      </c>
      <c r="J69" s="21" t="s">
        <v>187</v>
      </c>
      <c r="K69" s="21" t="s">
        <v>8</v>
      </c>
      <c r="L69" s="21" t="s">
        <v>146</v>
      </c>
      <c r="M69" s="22">
        <v>10394947</v>
      </c>
    </row>
    <row r="70" spans="1:13" x14ac:dyDescent="0.25">
      <c r="G70" s="190"/>
      <c r="H70" s="21" t="s">
        <v>191</v>
      </c>
      <c r="I70" s="21">
        <v>2011</v>
      </c>
      <c r="J70" s="21" t="s">
        <v>202</v>
      </c>
      <c r="K70" s="21" t="s">
        <v>8</v>
      </c>
      <c r="L70" s="21" t="s">
        <v>146</v>
      </c>
      <c r="M70" s="22">
        <v>66358823</v>
      </c>
    </row>
    <row r="71" spans="1:13" x14ac:dyDescent="0.25">
      <c r="G71" s="190"/>
      <c r="H71" s="21" t="s">
        <v>227</v>
      </c>
      <c r="I71" s="21">
        <v>2010</v>
      </c>
      <c r="J71" s="21" t="s">
        <v>233</v>
      </c>
      <c r="K71" s="21" t="s">
        <v>8</v>
      </c>
      <c r="L71" s="21" t="s">
        <v>146</v>
      </c>
      <c r="M71" s="22">
        <v>22719587</v>
      </c>
    </row>
    <row r="72" spans="1:13" x14ac:dyDescent="0.25">
      <c r="G72" s="190"/>
      <c r="H72" s="21" t="s">
        <v>227</v>
      </c>
      <c r="I72" s="21">
        <v>2010</v>
      </c>
      <c r="J72" s="21" t="s">
        <v>243</v>
      </c>
      <c r="K72" s="21" t="s">
        <v>8</v>
      </c>
      <c r="L72" s="21" t="s">
        <v>146</v>
      </c>
      <c r="M72" s="22">
        <v>36000000</v>
      </c>
    </row>
    <row r="73" spans="1:13" x14ac:dyDescent="0.25">
      <c r="G73" s="190"/>
      <c r="H73" s="21" t="s">
        <v>249</v>
      </c>
      <c r="I73" s="21">
        <v>2010</v>
      </c>
      <c r="J73" s="21" t="s">
        <v>254</v>
      </c>
      <c r="K73" s="21" t="s">
        <v>8</v>
      </c>
      <c r="L73" s="21" t="s">
        <v>146</v>
      </c>
      <c r="M73" s="22">
        <v>97010971</v>
      </c>
    </row>
    <row r="74" spans="1:13" x14ac:dyDescent="0.25">
      <c r="A74" s="21"/>
      <c r="G74" s="190"/>
      <c r="H74" s="21" t="s">
        <v>249</v>
      </c>
      <c r="I74" s="21">
        <v>2013</v>
      </c>
      <c r="J74" s="21" t="s">
        <v>256</v>
      </c>
      <c r="K74" s="21" t="s">
        <v>8</v>
      </c>
      <c r="L74" s="21" t="s">
        <v>146</v>
      </c>
      <c r="M74" s="22">
        <v>29852815</v>
      </c>
    </row>
    <row r="75" spans="1:13" x14ac:dyDescent="0.25">
      <c r="A75" s="21"/>
      <c r="G75" s="190"/>
      <c r="H75" s="21" t="s">
        <v>277</v>
      </c>
      <c r="I75" s="21">
        <v>2013</v>
      </c>
      <c r="J75" s="21" t="s">
        <v>288</v>
      </c>
      <c r="K75" s="21" t="s">
        <v>8</v>
      </c>
      <c r="L75" s="21" t="s">
        <v>146</v>
      </c>
      <c r="M75" s="22">
        <v>5260000</v>
      </c>
    </row>
    <row r="76" spans="1:13" x14ac:dyDescent="0.25">
      <c r="A76" s="21"/>
      <c r="G76" s="190"/>
      <c r="H76" s="21" t="s">
        <v>129</v>
      </c>
      <c r="I76" s="21">
        <v>2017</v>
      </c>
      <c r="J76" s="21" t="s">
        <v>431</v>
      </c>
      <c r="K76" s="21" t="s">
        <v>8</v>
      </c>
      <c r="L76" s="21" t="s">
        <v>437</v>
      </c>
      <c r="M76" s="22">
        <v>7285505</v>
      </c>
    </row>
    <row r="77" spans="1:13" x14ac:dyDescent="0.25">
      <c r="G77" s="190"/>
      <c r="H77" s="21" t="s">
        <v>227</v>
      </c>
      <c r="I77" s="21">
        <v>2014</v>
      </c>
      <c r="J77" s="21" t="s">
        <v>238</v>
      </c>
      <c r="K77" s="21" t="s">
        <v>19</v>
      </c>
      <c r="L77" s="21" t="s">
        <v>239</v>
      </c>
      <c r="M77" s="22">
        <v>11109600</v>
      </c>
    </row>
    <row r="78" spans="1:13" x14ac:dyDescent="0.25">
      <c r="G78" s="190"/>
      <c r="H78" s="21" t="s">
        <v>227</v>
      </c>
      <c r="I78" s="21">
        <v>2018</v>
      </c>
      <c r="J78" s="21" t="s">
        <v>386</v>
      </c>
      <c r="K78" s="21" t="s">
        <v>19</v>
      </c>
      <c r="L78" s="21" t="s">
        <v>239</v>
      </c>
      <c r="M78" s="22">
        <v>18702000</v>
      </c>
    </row>
    <row r="79" spans="1:13" x14ac:dyDescent="0.25">
      <c r="G79" s="190"/>
      <c r="H79" s="21" t="s">
        <v>73</v>
      </c>
      <c r="I79" s="21">
        <v>2016</v>
      </c>
      <c r="J79" s="21" t="s">
        <v>84</v>
      </c>
      <c r="K79" s="21" t="s">
        <v>19</v>
      </c>
      <c r="L79" s="21" t="s">
        <v>85</v>
      </c>
      <c r="M79" s="22">
        <v>6556593</v>
      </c>
    </row>
    <row r="80" spans="1:13" x14ac:dyDescent="0.25">
      <c r="G80" s="190"/>
      <c r="H80" s="21" t="s">
        <v>47</v>
      </c>
      <c r="I80" s="21">
        <v>2016</v>
      </c>
      <c r="J80" s="21" t="s">
        <v>66</v>
      </c>
      <c r="K80" s="21" t="s">
        <v>19</v>
      </c>
      <c r="L80" s="21" t="s">
        <v>67</v>
      </c>
      <c r="M80" s="22">
        <v>5869548</v>
      </c>
    </row>
    <row r="81" spans="7:13" x14ac:dyDescent="0.25">
      <c r="G81" s="190"/>
      <c r="H81" s="21" t="s">
        <v>23</v>
      </c>
      <c r="I81" s="21">
        <v>2009</v>
      </c>
      <c r="J81" s="21" t="s">
        <v>32</v>
      </c>
      <c r="K81" s="21" t="s">
        <v>33</v>
      </c>
      <c r="L81" s="21" t="s">
        <v>34</v>
      </c>
      <c r="M81" s="22">
        <v>17550000</v>
      </c>
    </row>
    <row r="82" spans="7:13" x14ac:dyDescent="0.25">
      <c r="G82" s="190"/>
      <c r="H82" s="21" t="s">
        <v>227</v>
      </c>
      <c r="I82" s="21">
        <v>2010</v>
      </c>
      <c r="J82" s="21" t="s">
        <v>234</v>
      </c>
      <c r="K82" s="21" t="s">
        <v>8</v>
      </c>
      <c r="L82" s="21" t="s">
        <v>34</v>
      </c>
      <c r="M82" s="22">
        <v>18237546</v>
      </c>
    </row>
    <row r="83" spans="7:13" x14ac:dyDescent="0.25">
      <c r="G83" s="190"/>
      <c r="H83" s="21" t="s">
        <v>129</v>
      </c>
      <c r="I83" s="21">
        <v>2010</v>
      </c>
      <c r="J83" s="21" t="s">
        <v>177</v>
      </c>
      <c r="K83" s="21" t="s">
        <v>19</v>
      </c>
      <c r="L83" s="21" t="s">
        <v>178</v>
      </c>
      <c r="M83" s="22">
        <v>6962228</v>
      </c>
    </row>
    <row r="84" spans="7:13" x14ac:dyDescent="0.25">
      <c r="G84" s="190"/>
      <c r="H84" s="21" t="s">
        <v>191</v>
      </c>
      <c r="I84" s="21">
        <v>2011</v>
      </c>
      <c r="J84" s="21" t="s">
        <v>198</v>
      </c>
      <c r="K84" s="21" t="s">
        <v>8</v>
      </c>
      <c r="L84" s="21" t="s">
        <v>178</v>
      </c>
      <c r="M84" s="22">
        <v>71990000</v>
      </c>
    </row>
    <row r="85" spans="7:13" x14ac:dyDescent="0.25">
      <c r="G85" s="190"/>
      <c r="H85" s="21" t="s">
        <v>277</v>
      </c>
      <c r="I85" s="21">
        <v>2017</v>
      </c>
      <c r="J85" s="21" t="s">
        <v>292</v>
      </c>
      <c r="K85" s="21" t="s">
        <v>8</v>
      </c>
      <c r="L85" s="21" t="s">
        <v>178</v>
      </c>
      <c r="M85" s="22">
        <v>118503000</v>
      </c>
    </row>
    <row r="86" spans="7:13" x14ac:dyDescent="0.25">
      <c r="G86" s="190"/>
      <c r="H86" s="21" t="s">
        <v>277</v>
      </c>
      <c r="I86" s="21">
        <v>2018</v>
      </c>
      <c r="J86" s="21" t="s">
        <v>403</v>
      </c>
      <c r="K86" s="21" t="s">
        <v>8</v>
      </c>
      <c r="L86" s="21" t="s">
        <v>178</v>
      </c>
      <c r="M86" s="22">
        <v>5821504</v>
      </c>
    </row>
    <row r="87" spans="7:13" x14ac:dyDescent="0.25">
      <c r="G87" s="190"/>
      <c r="H87" s="21" t="s">
        <v>227</v>
      </c>
      <c r="I87" s="21">
        <v>2017</v>
      </c>
      <c r="J87" s="21" t="s">
        <v>228</v>
      </c>
      <c r="K87" s="21" t="s">
        <v>8</v>
      </c>
      <c r="L87" s="21" t="s">
        <v>229</v>
      </c>
      <c r="M87" s="22">
        <v>13150000</v>
      </c>
    </row>
    <row r="88" spans="7:13" x14ac:dyDescent="0.25">
      <c r="G88" s="190"/>
      <c r="H88" s="21" t="s">
        <v>227</v>
      </c>
      <c r="I88" s="21">
        <v>2014</v>
      </c>
      <c r="J88" s="21" t="s">
        <v>246</v>
      </c>
      <c r="K88" s="21" t="s">
        <v>8</v>
      </c>
      <c r="L88" s="21" t="s">
        <v>229</v>
      </c>
      <c r="M88" s="22">
        <v>12151212</v>
      </c>
    </row>
    <row r="89" spans="7:13" x14ac:dyDescent="0.25">
      <c r="G89" s="190"/>
      <c r="H89" s="21" t="s">
        <v>249</v>
      </c>
      <c r="I89" s="21">
        <v>2009</v>
      </c>
      <c r="J89" s="21" t="s">
        <v>253</v>
      </c>
      <c r="K89" s="21" t="s">
        <v>8</v>
      </c>
      <c r="L89" s="21" t="s">
        <v>229</v>
      </c>
      <c r="M89" s="22">
        <v>15808053</v>
      </c>
    </row>
    <row r="90" spans="7:13" x14ac:dyDescent="0.25">
      <c r="G90" s="190"/>
      <c r="H90" s="21" t="s">
        <v>249</v>
      </c>
      <c r="I90" s="21">
        <v>2012</v>
      </c>
      <c r="J90" s="21" t="s">
        <v>255</v>
      </c>
      <c r="K90" s="21" t="s">
        <v>8</v>
      </c>
      <c r="L90" s="21" t="s">
        <v>229</v>
      </c>
      <c r="M90" s="22">
        <v>29794180</v>
      </c>
    </row>
    <row r="91" spans="7:13" x14ac:dyDescent="0.25">
      <c r="G91" s="190"/>
      <c r="H91" s="21" t="s">
        <v>249</v>
      </c>
      <c r="I91" s="21">
        <v>2020</v>
      </c>
      <c r="J91" s="21" t="s">
        <v>418</v>
      </c>
      <c r="K91" s="21" t="s">
        <v>8</v>
      </c>
      <c r="L91" s="21" t="s">
        <v>229</v>
      </c>
      <c r="M91" s="22">
        <v>94248688</v>
      </c>
    </row>
    <row r="92" spans="7:13" x14ac:dyDescent="0.25">
      <c r="G92" s="190"/>
      <c r="H92" s="21" t="s">
        <v>191</v>
      </c>
      <c r="I92" s="21">
        <v>2012</v>
      </c>
      <c r="J92" s="21" t="s">
        <v>213</v>
      </c>
      <c r="K92" s="21" t="s">
        <v>214</v>
      </c>
      <c r="L92" s="21" t="s">
        <v>215</v>
      </c>
      <c r="M92" s="22">
        <v>16508000</v>
      </c>
    </row>
    <row r="93" spans="7:13" x14ac:dyDescent="0.25">
      <c r="G93" s="190"/>
      <c r="H93" s="21" t="s">
        <v>73</v>
      </c>
      <c r="I93" s="21">
        <v>2013</v>
      </c>
      <c r="J93" s="21" t="s">
        <v>82</v>
      </c>
      <c r="K93" s="21" t="s">
        <v>19</v>
      </c>
      <c r="L93" s="21" t="s">
        <v>83</v>
      </c>
      <c r="M93" s="22">
        <v>7933000</v>
      </c>
    </row>
    <row r="94" spans="7:13" x14ac:dyDescent="0.25">
      <c r="G94" s="190"/>
      <c r="H94" s="21" t="s">
        <v>73</v>
      </c>
      <c r="I94" s="21">
        <v>2018</v>
      </c>
      <c r="J94" s="21" t="s">
        <v>422</v>
      </c>
      <c r="K94" s="21" t="s">
        <v>19</v>
      </c>
      <c r="L94" s="21" t="s">
        <v>424</v>
      </c>
      <c r="M94" s="22">
        <v>7858846</v>
      </c>
    </row>
    <row r="95" spans="7:13" x14ac:dyDescent="0.25">
      <c r="G95" s="190"/>
      <c r="H95" s="21" t="s">
        <v>73</v>
      </c>
      <c r="I95" s="21">
        <v>2018</v>
      </c>
      <c r="J95" s="21" t="s">
        <v>423</v>
      </c>
      <c r="K95" s="21" t="s">
        <v>19</v>
      </c>
      <c r="L95" s="21" t="s">
        <v>424</v>
      </c>
      <c r="M95" s="22">
        <v>16279217</v>
      </c>
    </row>
    <row r="96" spans="7:13" x14ac:dyDescent="0.25">
      <c r="G96" s="190"/>
      <c r="H96" s="21" t="s">
        <v>129</v>
      </c>
      <c r="I96" s="21">
        <v>2018</v>
      </c>
      <c r="J96" s="21" t="s">
        <v>434</v>
      </c>
      <c r="K96" s="21" t="s">
        <v>8</v>
      </c>
      <c r="L96" s="21" t="s">
        <v>424</v>
      </c>
      <c r="M96" s="22">
        <v>19654061</v>
      </c>
    </row>
    <row r="97" spans="7:13" x14ac:dyDescent="0.25">
      <c r="G97" s="190"/>
      <c r="H97" s="21" t="s">
        <v>23</v>
      </c>
      <c r="I97" s="21">
        <v>2019</v>
      </c>
      <c r="J97" s="21" t="s">
        <v>377</v>
      </c>
      <c r="K97" s="21" t="s">
        <v>8</v>
      </c>
      <c r="L97" s="21" t="s">
        <v>380</v>
      </c>
      <c r="M97" s="22">
        <v>11729047</v>
      </c>
    </row>
    <row r="98" spans="7:13" x14ac:dyDescent="0.25">
      <c r="G98" s="190"/>
      <c r="H98" s="21" t="s">
        <v>23</v>
      </c>
      <c r="I98" s="21">
        <v>2011</v>
      </c>
      <c r="J98" s="21" t="s">
        <v>26</v>
      </c>
      <c r="K98" s="21" t="s">
        <v>19</v>
      </c>
      <c r="L98" s="21" t="s">
        <v>27</v>
      </c>
      <c r="M98" s="22">
        <v>6877000</v>
      </c>
    </row>
    <row r="99" spans="7:13" x14ac:dyDescent="0.25">
      <c r="G99" s="190"/>
      <c r="H99" s="21" t="s">
        <v>227</v>
      </c>
      <c r="I99" s="21">
        <v>2018</v>
      </c>
      <c r="J99" s="21" t="s">
        <v>387</v>
      </c>
      <c r="K99" s="21" t="s">
        <v>19</v>
      </c>
      <c r="L99" s="21" t="s">
        <v>389</v>
      </c>
      <c r="M99" s="22">
        <v>12136212</v>
      </c>
    </row>
    <row r="100" spans="7:13" x14ac:dyDescent="0.25">
      <c r="G100" s="190"/>
      <c r="H100" s="21" t="s">
        <v>47</v>
      </c>
      <c r="I100" s="21">
        <v>2014</v>
      </c>
      <c r="J100" s="21" t="s">
        <v>57</v>
      </c>
      <c r="K100" s="21" t="s">
        <v>8</v>
      </c>
      <c r="L100" s="21" t="s">
        <v>58</v>
      </c>
      <c r="M100" s="22">
        <v>42712270</v>
      </c>
    </row>
    <row r="101" spans="7:13" x14ac:dyDescent="0.25">
      <c r="G101" s="190"/>
      <c r="H101" s="21" t="s">
        <v>47</v>
      </c>
      <c r="I101" s="21">
        <v>2017</v>
      </c>
      <c r="J101" s="21" t="s">
        <v>71</v>
      </c>
      <c r="K101" s="21" t="s">
        <v>8</v>
      </c>
      <c r="L101" s="21" t="s">
        <v>58</v>
      </c>
      <c r="M101" s="22">
        <v>72835614</v>
      </c>
    </row>
    <row r="102" spans="7:13" x14ac:dyDescent="0.25">
      <c r="G102" s="190"/>
      <c r="H102" s="21" t="s">
        <v>119</v>
      </c>
      <c r="I102" s="21">
        <v>2011</v>
      </c>
      <c r="J102" s="21" t="s">
        <v>120</v>
      </c>
      <c r="K102" s="21" t="s">
        <v>121</v>
      </c>
      <c r="L102" s="21" t="s">
        <v>58</v>
      </c>
      <c r="M102" s="22">
        <v>13631733</v>
      </c>
    </row>
    <row r="103" spans="7:13" x14ac:dyDescent="0.25">
      <c r="G103" s="190"/>
      <c r="H103" s="21" t="s">
        <v>249</v>
      </c>
      <c r="I103" s="21">
        <v>2009</v>
      </c>
      <c r="J103" s="21" t="s">
        <v>251</v>
      </c>
      <c r="K103" s="21" t="s">
        <v>8</v>
      </c>
      <c r="L103" s="21" t="s">
        <v>58</v>
      </c>
      <c r="M103" s="22">
        <v>39486474</v>
      </c>
    </row>
    <row r="104" spans="7:13" x14ac:dyDescent="0.25">
      <c r="G104" s="190"/>
      <c r="H104" s="21" t="s">
        <v>249</v>
      </c>
      <c r="I104" s="21">
        <v>2009</v>
      </c>
      <c r="J104" s="21" t="s">
        <v>252</v>
      </c>
      <c r="K104" s="21" t="s">
        <v>8</v>
      </c>
      <c r="L104" s="21" t="s">
        <v>58</v>
      </c>
      <c r="M104" s="22">
        <v>14193696</v>
      </c>
    </row>
    <row r="105" spans="7:13" x14ac:dyDescent="0.25">
      <c r="G105" s="190"/>
      <c r="H105" s="21" t="s">
        <v>249</v>
      </c>
      <c r="I105" s="21">
        <v>2017</v>
      </c>
      <c r="J105" s="21" t="s">
        <v>268</v>
      </c>
      <c r="K105" s="21" t="s">
        <v>8</v>
      </c>
      <c r="L105" s="21" t="s">
        <v>58</v>
      </c>
      <c r="M105" s="22">
        <v>61500000</v>
      </c>
    </row>
    <row r="106" spans="7:13" x14ac:dyDescent="0.25">
      <c r="G106" s="190"/>
      <c r="H106" s="21" t="s">
        <v>277</v>
      </c>
      <c r="I106" s="21">
        <v>2014</v>
      </c>
      <c r="J106" s="21" t="s">
        <v>290</v>
      </c>
      <c r="K106" s="21" t="s">
        <v>8</v>
      </c>
      <c r="L106" s="21" t="s">
        <v>58</v>
      </c>
      <c r="M106" s="22">
        <v>5600000</v>
      </c>
    </row>
    <row r="107" spans="7:13" x14ac:dyDescent="0.25">
      <c r="G107" s="190"/>
      <c r="H107" s="21" t="s">
        <v>277</v>
      </c>
      <c r="I107" s="21">
        <v>2017</v>
      </c>
      <c r="J107" s="21" t="s">
        <v>293</v>
      </c>
      <c r="K107" s="21" t="s">
        <v>8</v>
      </c>
      <c r="L107" s="21" t="s">
        <v>58</v>
      </c>
      <c r="M107" s="22">
        <v>22613000</v>
      </c>
    </row>
    <row r="108" spans="7:13" x14ac:dyDescent="0.25">
      <c r="G108" s="190"/>
      <c r="H108" s="21" t="s">
        <v>227</v>
      </c>
      <c r="I108" s="21">
        <v>2017</v>
      </c>
      <c r="J108" s="21" t="s">
        <v>385</v>
      </c>
      <c r="K108" s="21" t="s">
        <v>8</v>
      </c>
      <c r="L108" s="21" t="s">
        <v>58</v>
      </c>
      <c r="M108" s="22">
        <v>15394218</v>
      </c>
    </row>
    <row r="109" spans="7:13" x14ac:dyDescent="0.25">
      <c r="G109" s="190"/>
      <c r="H109" s="21" t="s">
        <v>227</v>
      </c>
      <c r="I109" s="21">
        <v>2017</v>
      </c>
      <c r="J109" s="21" t="s">
        <v>231</v>
      </c>
      <c r="K109" s="21" t="s">
        <v>8</v>
      </c>
      <c r="L109" s="21" t="s">
        <v>58</v>
      </c>
      <c r="M109" s="22">
        <v>20613000</v>
      </c>
    </row>
    <row r="110" spans="7:13" x14ac:dyDescent="0.25">
      <c r="G110" s="190"/>
      <c r="H110" s="21" t="s">
        <v>119</v>
      </c>
      <c r="I110" s="21">
        <v>2019</v>
      </c>
      <c r="J110" s="21" t="s">
        <v>398</v>
      </c>
      <c r="K110" s="21" t="s">
        <v>8</v>
      </c>
      <c r="L110" s="21" t="s">
        <v>58</v>
      </c>
      <c r="M110" s="22">
        <v>19311522</v>
      </c>
    </row>
    <row r="111" spans="7:13" x14ac:dyDescent="0.25">
      <c r="G111" s="190"/>
      <c r="H111" s="21" t="s">
        <v>119</v>
      </c>
      <c r="I111" s="21">
        <v>2020</v>
      </c>
      <c r="J111" s="21" t="s">
        <v>400</v>
      </c>
      <c r="K111" s="21" t="s">
        <v>8</v>
      </c>
      <c r="L111" s="21" t="s">
        <v>58</v>
      </c>
      <c r="M111" s="22">
        <v>17901615</v>
      </c>
    </row>
    <row r="112" spans="7:13" x14ac:dyDescent="0.25">
      <c r="G112" s="190"/>
      <c r="H112" s="21" t="s">
        <v>277</v>
      </c>
      <c r="I112" s="21">
        <v>2019</v>
      </c>
      <c r="J112" s="21" t="s">
        <v>408</v>
      </c>
      <c r="K112" s="21" t="s">
        <v>8</v>
      </c>
      <c r="L112" s="21" t="s">
        <v>58</v>
      </c>
      <c r="M112" s="22">
        <v>15775385</v>
      </c>
    </row>
    <row r="113" spans="7:13" x14ac:dyDescent="0.25">
      <c r="G113" s="190"/>
      <c r="H113" s="21" t="s">
        <v>277</v>
      </c>
      <c r="I113" s="21">
        <v>2020</v>
      </c>
      <c r="J113" s="21" t="s">
        <v>404</v>
      </c>
      <c r="K113" s="21" t="s">
        <v>8</v>
      </c>
      <c r="L113" s="21" t="s">
        <v>58</v>
      </c>
      <c r="M113" s="22">
        <v>33738315</v>
      </c>
    </row>
    <row r="114" spans="7:13" x14ac:dyDescent="0.25">
      <c r="G114" s="190"/>
      <c r="H114" s="21" t="s">
        <v>277</v>
      </c>
      <c r="I114" s="21">
        <v>2021</v>
      </c>
      <c r="J114" s="21" t="s">
        <v>410</v>
      </c>
      <c r="K114" s="21" t="s">
        <v>8</v>
      </c>
      <c r="L114" s="21" t="s">
        <v>58</v>
      </c>
      <c r="M114" s="22">
        <v>34500000</v>
      </c>
    </row>
    <row r="115" spans="7:13" x14ac:dyDescent="0.25">
      <c r="G115" s="190"/>
      <c r="H115" s="21" t="s">
        <v>249</v>
      </c>
      <c r="I115" s="21">
        <v>2017</v>
      </c>
      <c r="J115" s="21" t="s">
        <v>416</v>
      </c>
      <c r="K115" s="21" t="s">
        <v>8</v>
      </c>
      <c r="L115" s="21" t="s">
        <v>58</v>
      </c>
      <c r="M115" s="22">
        <v>5340786</v>
      </c>
    </row>
    <row r="116" spans="7:13" x14ac:dyDescent="0.25">
      <c r="G116" s="190"/>
      <c r="H116" s="21" t="s">
        <v>129</v>
      </c>
      <c r="I116" s="21">
        <v>2018</v>
      </c>
      <c r="J116" s="21" t="s">
        <v>433</v>
      </c>
      <c r="K116" s="21" t="s">
        <v>8</v>
      </c>
      <c r="L116" s="21" t="s">
        <v>58</v>
      </c>
      <c r="M116" s="22">
        <v>10513253</v>
      </c>
    </row>
    <row r="117" spans="7:13" x14ac:dyDescent="0.25">
      <c r="G117" s="190"/>
      <c r="H117" s="21" t="s">
        <v>47</v>
      </c>
      <c r="I117" s="21">
        <v>2010</v>
      </c>
      <c r="J117" s="21" t="s">
        <v>63</v>
      </c>
      <c r="K117" s="21" t="s">
        <v>19</v>
      </c>
      <c r="L117" s="21" t="s">
        <v>64</v>
      </c>
      <c r="M117" s="22">
        <v>7698400</v>
      </c>
    </row>
    <row r="118" spans="7:13" x14ac:dyDescent="0.25">
      <c r="G118" s="190"/>
      <c r="H118" s="21" t="s">
        <v>129</v>
      </c>
      <c r="I118" s="21">
        <v>2008</v>
      </c>
      <c r="J118" s="21" t="s">
        <v>165</v>
      </c>
      <c r="K118" s="21" t="s">
        <v>8</v>
      </c>
      <c r="L118" s="21" t="s">
        <v>166</v>
      </c>
      <c r="M118" s="22">
        <v>5775000</v>
      </c>
    </row>
    <row r="119" spans="7:13" x14ac:dyDescent="0.25">
      <c r="G119" s="190"/>
      <c r="H119" s="21" t="s">
        <v>129</v>
      </c>
      <c r="I119" s="21">
        <v>2014</v>
      </c>
      <c r="J119" s="21" t="s">
        <v>149</v>
      </c>
      <c r="K119" s="21" t="s">
        <v>8</v>
      </c>
      <c r="L119" s="21" t="s">
        <v>150</v>
      </c>
      <c r="M119" s="22">
        <v>7940472</v>
      </c>
    </row>
    <row r="120" spans="7:13" x14ac:dyDescent="0.25">
      <c r="G120" s="190"/>
      <c r="H120" s="21" t="s">
        <v>129</v>
      </c>
      <c r="I120" s="21">
        <v>2008</v>
      </c>
      <c r="J120" s="21" t="s">
        <v>169</v>
      </c>
      <c r="K120" s="21" t="s">
        <v>8</v>
      </c>
      <c r="L120" s="21" t="s">
        <v>150</v>
      </c>
      <c r="M120" s="22">
        <v>6321025</v>
      </c>
    </row>
    <row r="121" spans="7:13" x14ac:dyDescent="0.25">
      <c r="G121" s="190"/>
      <c r="H121" s="21" t="s">
        <v>227</v>
      </c>
      <c r="I121" s="21">
        <v>2017</v>
      </c>
      <c r="J121" s="21" t="s">
        <v>391</v>
      </c>
      <c r="K121" s="21" t="s">
        <v>19</v>
      </c>
      <c r="L121" s="21" t="s">
        <v>392</v>
      </c>
      <c r="M121" s="22">
        <v>14713173</v>
      </c>
    </row>
    <row r="122" spans="7:13" x14ac:dyDescent="0.25">
      <c r="G122" s="190"/>
      <c r="H122" s="21" t="s">
        <v>277</v>
      </c>
      <c r="I122" s="21">
        <v>2011</v>
      </c>
      <c r="J122" s="21" t="s">
        <v>281</v>
      </c>
      <c r="K122" s="21" t="s">
        <v>8</v>
      </c>
      <c r="L122" s="21" t="s">
        <v>282</v>
      </c>
      <c r="M122" s="22">
        <v>11469095</v>
      </c>
    </row>
    <row r="123" spans="7:13" x14ac:dyDescent="0.25">
      <c r="G123" s="190"/>
      <c r="H123" s="21" t="s">
        <v>277</v>
      </c>
      <c r="I123" s="21">
        <v>2011</v>
      </c>
      <c r="J123" s="21" t="s">
        <v>283</v>
      </c>
      <c r="K123" s="21" t="s">
        <v>8</v>
      </c>
      <c r="L123" s="21" t="s">
        <v>282</v>
      </c>
      <c r="M123" s="22">
        <v>7475220</v>
      </c>
    </row>
    <row r="124" spans="7:13" x14ac:dyDescent="0.25">
      <c r="G124" s="190"/>
      <c r="H124" s="21" t="s">
        <v>191</v>
      </c>
      <c r="I124" s="21">
        <v>2009</v>
      </c>
      <c r="J124" s="21" t="s">
        <v>219</v>
      </c>
      <c r="K124" s="21" t="s">
        <v>44</v>
      </c>
      <c r="L124" s="21" t="s">
        <v>220</v>
      </c>
      <c r="M124" s="22">
        <v>59000000</v>
      </c>
    </row>
    <row r="125" spans="7:13" x14ac:dyDescent="0.25">
      <c r="G125" s="190"/>
      <c r="H125" s="21" t="s">
        <v>191</v>
      </c>
      <c r="I125" s="21">
        <v>2011</v>
      </c>
      <c r="J125" s="21" t="s">
        <v>221</v>
      </c>
      <c r="K125" s="21" t="s">
        <v>44</v>
      </c>
      <c r="L125" s="21" t="s">
        <v>220</v>
      </c>
      <c r="M125" s="22">
        <v>9600000</v>
      </c>
    </row>
    <row r="126" spans="7:13" x14ac:dyDescent="0.25">
      <c r="G126" s="190"/>
      <c r="H126" s="21" t="s">
        <v>47</v>
      </c>
      <c r="I126" s="21">
        <v>2008</v>
      </c>
      <c r="J126" s="21" t="s">
        <v>60</v>
      </c>
      <c r="K126" s="21" t="s">
        <v>19</v>
      </c>
      <c r="L126" s="21" t="s">
        <v>61</v>
      </c>
      <c r="M126" s="22">
        <v>8618208</v>
      </c>
    </row>
    <row r="127" spans="7:13" x14ac:dyDescent="0.25">
      <c r="G127" s="190"/>
      <c r="H127" s="21" t="s">
        <v>47</v>
      </c>
      <c r="I127" s="21">
        <v>2010</v>
      </c>
      <c r="J127" s="21" t="s">
        <v>62</v>
      </c>
      <c r="K127" s="21" t="s">
        <v>19</v>
      </c>
      <c r="L127" s="21" t="s">
        <v>61</v>
      </c>
      <c r="M127" s="22">
        <v>36200718</v>
      </c>
    </row>
    <row r="128" spans="7:13" x14ac:dyDescent="0.25">
      <c r="G128" s="190"/>
      <c r="H128" s="21" t="s">
        <v>47</v>
      </c>
      <c r="I128" s="21">
        <v>2017</v>
      </c>
      <c r="J128" s="21" t="s">
        <v>72</v>
      </c>
      <c r="K128" s="21" t="s">
        <v>8</v>
      </c>
      <c r="L128" s="21" t="s">
        <v>61</v>
      </c>
      <c r="M128" s="22">
        <v>20409000</v>
      </c>
    </row>
    <row r="129" spans="7:13" x14ac:dyDescent="0.25">
      <c r="G129" s="190"/>
      <c r="H129" s="21" t="s">
        <v>129</v>
      </c>
      <c r="I129" s="21">
        <v>2011</v>
      </c>
      <c r="J129" s="21" t="s">
        <v>144</v>
      </c>
      <c r="K129" s="21" t="s">
        <v>8</v>
      </c>
      <c r="L129" s="21" t="s">
        <v>61</v>
      </c>
      <c r="M129" s="22">
        <v>7543056</v>
      </c>
    </row>
    <row r="130" spans="7:13" x14ac:dyDescent="0.25">
      <c r="G130" s="190"/>
      <c r="H130" s="21" t="s">
        <v>47</v>
      </c>
      <c r="I130" s="21">
        <v>2018</v>
      </c>
      <c r="J130" s="21" t="s">
        <v>395</v>
      </c>
      <c r="K130" s="21" t="s">
        <v>19</v>
      </c>
      <c r="L130" s="21" t="s">
        <v>61</v>
      </c>
      <c r="M130" s="22">
        <v>6164000</v>
      </c>
    </row>
    <row r="131" spans="7:13" x14ac:dyDescent="0.25">
      <c r="G131" s="190"/>
      <c r="H131" s="21" t="s">
        <v>94</v>
      </c>
      <c r="I131" s="21">
        <v>2015</v>
      </c>
      <c r="J131" s="21" t="s">
        <v>102</v>
      </c>
      <c r="K131" s="21" t="s">
        <v>19</v>
      </c>
      <c r="L131" s="21" t="s">
        <v>103</v>
      </c>
      <c r="M131" s="22">
        <v>6592833</v>
      </c>
    </row>
    <row r="132" spans="7:13" x14ac:dyDescent="0.25">
      <c r="G132" s="190"/>
      <c r="H132" s="21" t="s">
        <v>104</v>
      </c>
      <c r="I132" s="21">
        <v>2014</v>
      </c>
      <c r="J132" s="21" t="s">
        <v>114</v>
      </c>
      <c r="K132" s="21" t="s">
        <v>19</v>
      </c>
      <c r="L132" s="21" t="s">
        <v>115</v>
      </c>
      <c r="M132" s="22">
        <v>6424000</v>
      </c>
    </row>
    <row r="133" spans="7:13" x14ac:dyDescent="0.25">
      <c r="G133" s="190"/>
      <c r="H133" s="21" t="s">
        <v>129</v>
      </c>
      <c r="I133" s="21">
        <v>2010</v>
      </c>
      <c r="J133" s="21" t="s">
        <v>133</v>
      </c>
      <c r="K133" s="21" t="s">
        <v>8</v>
      </c>
      <c r="L133" s="21" t="s">
        <v>134</v>
      </c>
      <c r="M133" s="22">
        <v>13352272</v>
      </c>
    </row>
    <row r="134" spans="7:13" x14ac:dyDescent="0.25">
      <c r="G134" s="190"/>
      <c r="H134" s="21" t="s">
        <v>129</v>
      </c>
      <c r="I134" s="21">
        <v>2013</v>
      </c>
      <c r="J134" s="21" t="s">
        <v>158</v>
      </c>
      <c r="K134" s="21" t="s">
        <v>8</v>
      </c>
      <c r="L134" s="21" t="s">
        <v>134</v>
      </c>
      <c r="M134" s="22">
        <v>22774649</v>
      </c>
    </row>
    <row r="135" spans="7:13" x14ac:dyDescent="0.25">
      <c r="G135" s="190"/>
      <c r="H135" s="21" t="s">
        <v>129</v>
      </c>
      <c r="I135" s="21">
        <v>2008</v>
      </c>
      <c r="J135" s="21" t="s">
        <v>161</v>
      </c>
      <c r="K135" s="21" t="s">
        <v>8</v>
      </c>
      <c r="L135" s="21" t="s">
        <v>134</v>
      </c>
      <c r="M135" s="22">
        <v>6387770</v>
      </c>
    </row>
    <row r="136" spans="7:13" x14ac:dyDescent="0.25">
      <c r="G136" s="190"/>
      <c r="H136" s="21" t="s">
        <v>129</v>
      </c>
      <c r="I136" s="21">
        <v>2011</v>
      </c>
      <c r="J136" s="21" t="s">
        <v>183</v>
      </c>
      <c r="K136" s="21" t="s">
        <v>184</v>
      </c>
      <c r="L136" s="21" t="s">
        <v>185</v>
      </c>
      <c r="M136" s="22">
        <v>8080574</v>
      </c>
    </row>
    <row r="137" spans="7:13" x14ac:dyDescent="0.25">
      <c r="G137" s="190"/>
      <c r="H137" s="21" t="s">
        <v>129</v>
      </c>
      <c r="I137" s="21">
        <v>2017</v>
      </c>
      <c r="J137" s="21" t="s">
        <v>429</v>
      </c>
      <c r="K137" s="21" t="s">
        <v>33</v>
      </c>
      <c r="L137" s="21" t="s">
        <v>430</v>
      </c>
      <c r="M137" s="22">
        <v>6518658</v>
      </c>
    </row>
    <row r="138" spans="7:13" x14ac:dyDescent="0.25">
      <c r="G138" s="190"/>
      <c r="H138" s="21" t="s">
        <v>129</v>
      </c>
      <c r="I138" s="21">
        <v>2009</v>
      </c>
      <c r="J138" s="21" t="s">
        <v>172</v>
      </c>
      <c r="K138" s="21" t="s">
        <v>8</v>
      </c>
      <c r="L138" s="21" t="s">
        <v>173</v>
      </c>
      <c r="M138" s="22">
        <v>10413942</v>
      </c>
    </row>
    <row r="139" spans="7:13" x14ac:dyDescent="0.25">
      <c r="G139" s="190"/>
      <c r="H139" s="21" t="s">
        <v>47</v>
      </c>
      <c r="I139" s="21">
        <v>2017</v>
      </c>
      <c r="J139" s="21" t="s">
        <v>383</v>
      </c>
      <c r="K139" s="21" t="s">
        <v>8</v>
      </c>
      <c r="L139" s="21" t="s">
        <v>69</v>
      </c>
      <c r="M139" s="22">
        <v>99000000</v>
      </c>
    </row>
    <row r="140" spans="7:13" x14ac:dyDescent="0.25">
      <c r="G140" s="190"/>
      <c r="H140" s="21" t="s">
        <v>89</v>
      </c>
      <c r="I140" s="21">
        <v>2015</v>
      </c>
      <c r="J140" s="21" t="s">
        <v>90</v>
      </c>
      <c r="K140" s="21" t="s">
        <v>8</v>
      </c>
      <c r="L140" s="21" t="s">
        <v>69</v>
      </c>
      <c r="M140" s="22">
        <v>60584000</v>
      </c>
    </row>
    <row r="141" spans="7:13" x14ac:dyDescent="0.25">
      <c r="G141" s="190"/>
      <c r="H141" s="21" t="s">
        <v>89</v>
      </c>
      <c r="I141" s="21">
        <v>2010</v>
      </c>
      <c r="J141" s="21" t="s">
        <v>91</v>
      </c>
      <c r="K141" s="21" t="s">
        <v>8</v>
      </c>
      <c r="L141" s="21" t="s">
        <v>69</v>
      </c>
      <c r="M141" s="22">
        <v>37079649</v>
      </c>
    </row>
    <row r="142" spans="7:13" x14ac:dyDescent="0.25">
      <c r="G142" s="190"/>
      <c r="H142" s="21" t="s">
        <v>89</v>
      </c>
      <c r="I142" s="21">
        <v>2013</v>
      </c>
      <c r="J142" s="21" t="s">
        <v>93</v>
      </c>
      <c r="K142" s="21" t="s">
        <v>8</v>
      </c>
      <c r="L142" s="21" t="s">
        <v>69</v>
      </c>
      <c r="M142" s="22">
        <v>37374141</v>
      </c>
    </row>
    <row r="143" spans="7:13" x14ac:dyDescent="0.25">
      <c r="G143" s="190"/>
      <c r="H143" s="21" t="s">
        <v>94</v>
      </c>
      <c r="I143" s="21">
        <v>2013</v>
      </c>
      <c r="J143" s="21" t="s">
        <v>96</v>
      </c>
      <c r="K143" s="21" t="s">
        <v>8</v>
      </c>
      <c r="L143" s="21" t="s">
        <v>69</v>
      </c>
      <c r="M143" s="22">
        <v>13000000</v>
      </c>
    </row>
    <row r="144" spans="7:13" x14ac:dyDescent="0.25">
      <c r="G144" s="190"/>
      <c r="H144" s="21" t="s">
        <v>94</v>
      </c>
      <c r="I144" s="21">
        <v>2014</v>
      </c>
      <c r="J144" s="21" t="s">
        <v>97</v>
      </c>
      <c r="K144" s="21" t="s">
        <v>8</v>
      </c>
      <c r="L144" s="21" t="s">
        <v>69</v>
      </c>
      <c r="M144" s="22">
        <v>6000000</v>
      </c>
    </row>
    <row r="145" spans="7:13" x14ac:dyDescent="0.25">
      <c r="G145" s="190"/>
      <c r="H145" s="21" t="s">
        <v>94</v>
      </c>
      <c r="I145" s="21">
        <v>2014</v>
      </c>
      <c r="J145" s="21" t="s">
        <v>98</v>
      </c>
      <c r="K145" s="21" t="s">
        <v>8</v>
      </c>
      <c r="L145" s="21" t="s">
        <v>69</v>
      </c>
      <c r="M145" s="22">
        <v>42600000</v>
      </c>
    </row>
    <row r="146" spans="7:13" x14ac:dyDescent="0.25">
      <c r="G146" s="190"/>
      <c r="H146" s="21" t="s">
        <v>104</v>
      </c>
      <c r="I146" s="21">
        <v>2014</v>
      </c>
      <c r="J146" s="21" t="s">
        <v>108</v>
      </c>
      <c r="K146" s="21" t="s">
        <v>8</v>
      </c>
      <c r="L146" s="21" t="s">
        <v>69</v>
      </c>
      <c r="M146" s="22">
        <v>40214071</v>
      </c>
    </row>
    <row r="147" spans="7:13" x14ac:dyDescent="0.25">
      <c r="G147" s="190"/>
      <c r="H147" s="21" t="s">
        <v>227</v>
      </c>
      <c r="I147" s="21">
        <v>2009</v>
      </c>
      <c r="J147" s="21" t="s">
        <v>241</v>
      </c>
      <c r="K147" s="21" t="s">
        <v>8</v>
      </c>
      <c r="L147" s="21" t="s">
        <v>69</v>
      </c>
      <c r="M147" s="22">
        <v>15439851</v>
      </c>
    </row>
    <row r="148" spans="7:13" x14ac:dyDescent="0.25">
      <c r="G148" s="190"/>
      <c r="H148" s="21" t="s">
        <v>227</v>
      </c>
      <c r="I148" s="21">
        <v>2011</v>
      </c>
      <c r="J148" s="21" t="s">
        <v>245</v>
      </c>
      <c r="K148" s="21" t="s">
        <v>8</v>
      </c>
      <c r="L148" s="21" t="s">
        <v>69</v>
      </c>
      <c r="M148" s="22">
        <v>38736573</v>
      </c>
    </row>
    <row r="149" spans="7:13" x14ac:dyDescent="0.25">
      <c r="G149" s="190"/>
      <c r="H149" s="21" t="s">
        <v>227</v>
      </c>
      <c r="I149" s="21">
        <v>2014</v>
      </c>
      <c r="J149" s="21" t="s">
        <v>247</v>
      </c>
      <c r="K149" s="21" t="s">
        <v>8</v>
      </c>
      <c r="L149" s="21" t="s">
        <v>69</v>
      </c>
      <c r="M149" s="22">
        <v>18956502</v>
      </c>
    </row>
    <row r="150" spans="7:13" x14ac:dyDescent="0.25">
      <c r="G150" s="190"/>
      <c r="H150" s="21" t="s">
        <v>227</v>
      </c>
      <c r="I150" s="21">
        <v>2011</v>
      </c>
      <c r="J150" s="21" t="s">
        <v>248</v>
      </c>
      <c r="K150" s="21" t="s">
        <v>19</v>
      </c>
      <c r="L150" s="21" t="s">
        <v>69</v>
      </c>
      <c r="M150" s="22">
        <v>10573813</v>
      </c>
    </row>
    <row r="151" spans="7:13" x14ac:dyDescent="0.25">
      <c r="G151" s="190"/>
      <c r="H151" s="21" t="s">
        <v>249</v>
      </c>
      <c r="I151" s="21">
        <v>2013</v>
      </c>
      <c r="J151" s="21" t="s">
        <v>263</v>
      </c>
      <c r="K151" s="21" t="s">
        <v>33</v>
      </c>
      <c r="L151" s="21" t="s">
        <v>69</v>
      </c>
      <c r="M151" s="22">
        <v>23546845</v>
      </c>
    </row>
    <row r="152" spans="7:13" x14ac:dyDescent="0.25">
      <c r="G152" s="190"/>
      <c r="H152" s="21" t="s">
        <v>89</v>
      </c>
      <c r="I152" s="21">
        <v>2021</v>
      </c>
      <c r="J152" s="21" t="s">
        <v>376</v>
      </c>
      <c r="K152" s="21" t="s">
        <v>33</v>
      </c>
      <c r="L152" s="21" t="s">
        <v>69</v>
      </c>
      <c r="M152" s="22">
        <v>50619880</v>
      </c>
    </row>
    <row r="153" spans="7:13" x14ac:dyDescent="0.25">
      <c r="G153" s="190"/>
      <c r="H153" s="21" t="s">
        <v>47</v>
      </c>
      <c r="I153" s="21">
        <v>2018</v>
      </c>
      <c r="J153" s="21" t="s">
        <v>396</v>
      </c>
      <c r="K153" s="21" t="s">
        <v>8</v>
      </c>
      <c r="L153" s="21" t="s">
        <v>69</v>
      </c>
      <c r="M153" s="22">
        <v>36010447</v>
      </c>
    </row>
    <row r="154" spans="7:13" x14ac:dyDescent="0.25">
      <c r="G154" s="190"/>
      <c r="H154" s="21" t="s">
        <v>94</v>
      </c>
      <c r="I154" s="21">
        <v>2017</v>
      </c>
      <c r="J154" s="21" t="s">
        <v>414</v>
      </c>
      <c r="K154" s="21" t="s">
        <v>8</v>
      </c>
      <c r="L154" s="21" t="s">
        <v>69</v>
      </c>
      <c r="M154" s="22">
        <v>59609247</v>
      </c>
    </row>
    <row r="155" spans="7:13" x14ac:dyDescent="0.25">
      <c r="G155" s="190"/>
      <c r="H155" s="21" t="s">
        <v>119</v>
      </c>
      <c r="I155" s="21">
        <v>2012</v>
      </c>
      <c r="J155" s="21" t="s">
        <v>124</v>
      </c>
      <c r="K155" s="21" t="s">
        <v>19</v>
      </c>
      <c r="L155" s="21" t="s">
        <v>125</v>
      </c>
      <c r="M155" s="22">
        <v>6985000</v>
      </c>
    </row>
    <row r="156" spans="7:13" x14ac:dyDescent="0.25">
      <c r="G156" s="190"/>
      <c r="H156" s="21" t="s">
        <v>227</v>
      </c>
      <c r="I156" s="21">
        <v>2013</v>
      </c>
      <c r="J156" s="21" t="s">
        <v>237</v>
      </c>
      <c r="K156" s="21" t="s">
        <v>19</v>
      </c>
      <c r="L156" s="21" t="s">
        <v>125</v>
      </c>
      <c r="M156" s="22">
        <v>11674470</v>
      </c>
    </row>
    <row r="157" spans="7:13" x14ac:dyDescent="0.25">
      <c r="G157" s="190"/>
      <c r="H157" s="21" t="s">
        <v>47</v>
      </c>
      <c r="I157" s="21">
        <v>2010</v>
      </c>
      <c r="J157" s="21" t="s">
        <v>51</v>
      </c>
      <c r="K157" s="21" t="s">
        <v>8</v>
      </c>
      <c r="L157" s="21" t="s">
        <v>52</v>
      </c>
      <c r="M157" s="22">
        <v>32926354</v>
      </c>
    </row>
    <row r="158" spans="7:13" x14ac:dyDescent="0.25">
      <c r="G158" s="190"/>
      <c r="H158" s="21" t="s">
        <v>47</v>
      </c>
      <c r="I158" s="21">
        <v>2012</v>
      </c>
      <c r="J158" s="21" t="s">
        <v>55</v>
      </c>
      <c r="K158" s="21" t="s">
        <v>8</v>
      </c>
      <c r="L158" s="21" t="s">
        <v>52</v>
      </c>
      <c r="M158" s="22">
        <v>32646335</v>
      </c>
    </row>
    <row r="159" spans="7:13" x14ac:dyDescent="0.25">
      <c r="G159" s="190"/>
      <c r="H159" s="21" t="s">
        <v>47</v>
      </c>
      <c r="I159" s="21">
        <v>2014</v>
      </c>
      <c r="J159" s="21" t="s">
        <v>59</v>
      </c>
      <c r="K159" s="21" t="s">
        <v>8</v>
      </c>
      <c r="L159" s="21" t="s">
        <v>52</v>
      </c>
      <c r="M159" s="22">
        <v>48789838</v>
      </c>
    </row>
    <row r="160" spans="7:13" x14ac:dyDescent="0.25">
      <c r="G160" s="190"/>
      <c r="H160" s="21" t="s">
        <v>47</v>
      </c>
      <c r="I160" s="21">
        <v>2016</v>
      </c>
      <c r="J160" s="21" t="s">
        <v>382</v>
      </c>
      <c r="K160" s="21" t="s">
        <v>8</v>
      </c>
      <c r="L160" s="21" t="s">
        <v>52</v>
      </c>
      <c r="M160" s="22">
        <v>57312163</v>
      </c>
    </row>
    <row r="161" spans="7:13" x14ac:dyDescent="0.25">
      <c r="G161" s="190"/>
      <c r="H161" s="21" t="s">
        <v>73</v>
      </c>
      <c r="I161" s="21">
        <v>2013</v>
      </c>
      <c r="J161" s="21" t="s">
        <v>86</v>
      </c>
      <c r="K161" s="21" t="s">
        <v>8</v>
      </c>
      <c r="L161" s="21" t="s">
        <v>52</v>
      </c>
      <c r="M161" s="22">
        <v>28635950</v>
      </c>
    </row>
    <row r="162" spans="7:13" x14ac:dyDescent="0.25">
      <c r="G162" s="190"/>
      <c r="H162" s="21" t="s">
        <v>94</v>
      </c>
      <c r="I162" s="21">
        <v>2011</v>
      </c>
      <c r="J162" s="21" t="s">
        <v>95</v>
      </c>
      <c r="K162" s="21" t="s">
        <v>8</v>
      </c>
      <c r="L162" s="21" t="s">
        <v>52</v>
      </c>
      <c r="M162" s="22">
        <v>14289497</v>
      </c>
    </row>
    <row r="163" spans="7:13" x14ac:dyDescent="0.25">
      <c r="G163" s="190"/>
      <c r="H163" s="21" t="s">
        <v>94</v>
      </c>
      <c r="I163" s="21">
        <v>2012</v>
      </c>
      <c r="J163" s="21" t="s">
        <v>100</v>
      </c>
      <c r="K163" s="21" t="s">
        <v>8</v>
      </c>
      <c r="L163" s="21" t="s">
        <v>52</v>
      </c>
      <c r="M163" s="22">
        <v>17000000</v>
      </c>
    </row>
    <row r="164" spans="7:13" x14ac:dyDescent="0.25">
      <c r="G164" s="190"/>
      <c r="H164" s="21" t="s">
        <v>104</v>
      </c>
      <c r="I164" s="21">
        <v>2013</v>
      </c>
      <c r="J164" s="21" t="s">
        <v>107</v>
      </c>
      <c r="K164" s="21" t="s">
        <v>8</v>
      </c>
      <c r="L164" s="21" t="s">
        <v>52</v>
      </c>
      <c r="M164" s="22">
        <v>27750000</v>
      </c>
    </row>
    <row r="165" spans="7:13" x14ac:dyDescent="0.25">
      <c r="G165" s="190"/>
      <c r="H165" s="21" t="s">
        <v>191</v>
      </c>
      <c r="I165" s="21">
        <v>2009</v>
      </c>
      <c r="J165" s="21" t="s">
        <v>193</v>
      </c>
      <c r="K165" s="21" t="s">
        <v>8</v>
      </c>
      <c r="L165" s="21" t="s">
        <v>52</v>
      </c>
      <c r="M165" s="22">
        <v>24134503</v>
      </c>
    </row>
    <row r="166" spans="7:13" x14ac:dyDescent="0.25">
      <c r="G166" s="190"/>
      <c r="H166" s="21" t="s">
        <v>191</v>
      </c>
      <c r="I166" s="21">
        <v>2011</v>
      </c>
      <c r="J166" s="21" t="s">
        <v>199</v>
      </c>
      <c r="K166" s="21" t="s">
        <v>8</v>
      </c>
      <c r="L166" s="21" t="s">
        <v>52</v>
      </c>
      <c r="M166" s="22">
        <v>33376000</v>
      </c>
    </row>
    <row r="167" spans="7:13" x14ac:dyDescent="0.25">
      <c r="G167" s="190"/>
      <c r="H167" s="21" t="s">
        <v>191</v>
      </c>
      <c r="I167" s="21">
        <v>2011</v>
      </c>
      <c r="J167" s="21" t="s">
        <v>203</v>
      </c>
      <c r="K167" s="21" t="s">
        <v>8</v>
      </c>
      <c r="L167" s="21" t="s">
        <v>52</v>
      </c>
      <c r="M167" s="22">
        <v>42084845</v>
      </c>
    </row>
    <row r="168" spans="7:13" x14ac:dyDescent="0.25">
      <c r="G168" s="190"/>
      <c r="H168" s="21" t="s">
        <v>227</v>
      </c>
      <c r="I168" s="21">
        <v>2010</v>
      </c>
      <c r="J168" s="21" t="s">
        <v>244</v>
      </c>
      <c r="K168" s="21" t="s">
        <v>8</v>
      </c>
      <c r="L168" s="21" t="s">
        <v>52</v>
      </c>
      <c r="M168" s="22">
        <v>16395401</v>
      </c>
    </row>
    <row r="169" spans="7:13" x14ac:dyDescent="0.25">
      <c r="G169" s="190"/>
      <c r="H169" s="21" t="s">
        <v>249</v>
      </c>
      <c r="I169" s="21">
        <v>2009</v>
      </c>
      <c r="J169" s="21" t="s">
        <v>250</v>
      </c>
      <c r="K169" s="21" t="s">
        <v>8</v>
      </c>
      <c r="L169" s="21" t="s">
        <v>52</v>
      </c>
      <c r="M169" s="22">
        <v>62700392</v>
      </c>
    </row>
    <row r="170" spans="7:13" x14ac:dyDescent="0.25">
      <c r="G170" s="190"/>
      <c r="H170" s="21" t="s">
        <v>249</v>
      </c>
      <c r="I170" s="21">
        <v>2013</v>
      </c>
      <c r="J170" s="21" t="s">
        <v>257</v>
      </c>
      <c r="K170" s="21" t="s">
        <v>8</v>
      </c>
      <c r="L170" s="21" t="s">
        <v>52</v>
      </c>
      <c r="M170" s="22">
        <v>7962123</v>
      </c>
    </row>
    <row r="171" spans="7:13" x14ac:dyDescent="0.25">
      <c r="G171" s="190"/>
      <c r="H171" s="21" t="s">
        <v>104</v>
      </c>
      <c r="I171" s="21">
        <v>2021</v>
      </c>
      <c r="J171" s="21" t="s">
        <v>372</v>
      </c>
      <c r="K171" s="21" t="s">
        <v>8</v>
      </c>
      <c r="L171" s="21" t="s">
        <v>52</v>
      </c>
      <c r="M171" s="22">
        <v>80500000</v>
      </c>
    </row>
    <row r="172" spans="7:13" x14ac:dyDescent="0.25">
      <c r="G172" s="190"/>
      <c r="H172" s="21" t="s">
        <v>277</v>
      </c>
      <c r="I172" s="21">
        <v>2021</v>
      </c>
      <c r="J172" s="21" t="s">
        <v>409</v>
      </c>
      <c r="K172" s="21" t="s">
        <v>8</v>
      </c>
      <c r="L172" s="21" t="s">
        <v>52</v>
      </c>
      <c r="M172" s="22">
        <v>69914000</v>
      </c>
    </row>
    <row r="173" spans="7:13" x14ac:dyDescent="0.25">
      <c r="G173" s="190"/>
      <c r="H173" s="21" t="s">
        <v>249</v>
      </c>
      <c r="I173" s="21">
        <v>2016</v>
      </c>
      <c r="J173" s="21" t="s">
        <v>265</v>
      </c>
      <c r="K173" s="21" t="s">
        <v>19</v>
      </c>
      <c r="L173" s="21" t="s">
        <v>266</v>
      </c>
      <c r="M173" s="22">
        <v>13840000</v>
      </c>
    </row>
    <row r="174" spans="7:13" x14ac:dyDescent="0.25">
      <c r="G174" s="190"/>
      <c r="H174" s="21" t="s">
        <v>249</v>
      </c>
      <c r="I174" s="21">
        <v>2019</v>
      </c>
      <c r="J174" s="21" t="s">
        <v>417</v>
      </c>
      <c r="K174" s="21" t="s">
        <v>19</v>
      </c>
      <c r="L174" s="21" t="s">
        <v>266</v>
      </c>
      <c r="M174" s="22">
        <v>5699751</v>
      </c>
    </row>
    <row r="175" spans="7:13" x14ac:dyDescent="0.25">
      <c r="G175" s="190"/>
      <c r="H175" s="21" t="s">
        <v>129</v>
      </c>
      <c r="I175" s="21">
        <v>2008</v>
      </c>
      <c r="J175" s="21" t="s">
        <v>163</v>
      </c>
      <c r="K175" s="21" t="s">
        <v>8</v>
      </c>
      <c r="L175" s="21" t="s">
        <v>164</v>
      </c>
      <c r="M175" s="22">
        <v>7542100</v>
      </c>
    </row>
    <row r="176" spans="7:13" x14ac:dyDescent="0.25">
      <c r="G176" s="190"/>
      <c r="H176" s="21" t="s">
        <v>129</v>
      </c>
      <c r="I176" s="21">
        <v>2019</v>
      </c>
      <c r="J176" s="21" t="s">
        <v>436</v>
      </c>
      <c r="K176" s="21" t="s">
        <v>19</v>
      </c>
      <c r="L176" s="21" t="s">
        <v>445</v>
      </c>
      <c r="M176" s="22">
        <v>5489874</v>
      </c>
    </row>
    <row r="177" spans="7:13" x14ac:dyDescent="0.25">
      <c r="G177" s="190"/>
      <c r="H177" s="21" t="s">
        <v>129</v>
      </c>
      <c r="I177" s="21">
        <v>2008</v>
      </c>
      <c r="J177" s="21" t="s">
        <v>130</v>
      </c>
      <c r="K177" s="21" t="s">
        <v>8</v>
      </c>
      <c r="L177" s="21" t="s">
        <v>136</v>
      </c>
      <c r="M177" s="22">
        <v>5424879</v>
      </c>
    </row>
    <row r="178" spans="7:13" x14ac:dyDescent="0.25">
      <c r="G178" s="190"/>
      <c r="H178" s="21" t="s">
        <v>129</v>
      </c>
      <c r="I178" s="21">
        <v>2008</v>
      </c>
      <c r="J178" s="21" t="s">
        <v>131</v>
      </c>
      <c r="K178" s="21" t="s">
        <v>8</v>
      </c>
      <c r="L178" s="21" t="s">
        <v>136</v>
      </c>
      <c r="M178" s="22">
        <v>6059233</v>
      </c>
    </row>
    <row r="179" spans="7:13" x14ac:dyDescent="0.25">
      <c r="G179" s="190"/>
      <c r="H179" s="21" t="s">
        <v>129</v>
      </c>
      <c r="I179" s="21">
        <v>2010</v>
      </c>
      <c r="J179" s="21" t="s">
        <v>137</v>
      </c>
      <c r="K179" s="21" t="s">
        <v>8</v>
      </c>
      <c r="L179" s="21" t="s">
        <v>136</v>
      </c>
      <c r="M179" s="22">
        <v>5822481</v>
      </c>
    </row>
    <row r="180" spans="7:13" x14ac:dyDescent="0.25">
      <c r="G180" s="190"/>
      <c r="H180" s="21" t="s">
        <v>129</v>
      </c>
      <c r="I180" s="21">
        <v>2008</v>
      </c>
      <c r="J180" s="21" t="s">
        <v>168</v>
      </c>
      <c r="K180" s="21" t="s">
        <v>8</v>
      </c>
      <c r="L180" s="21" t="s">
        <v>136</v>
      </c>
      <c r="M180" s="22">
        <v>8173387</v>
      </c>
    </row>
    <row r="181" spans="7:13" x14ac:dyDescent="0.25">
      <c r="G181" s="190"/>
      <c r="H181" s="21" t="s">
        <v>191</v>
      </c>
      <c r="I181" s="21">
        <v>2008</v>
      </c>
      <c r="J181" s="21" t="s">
        <v>209</v>
      </c>
      <c r="K181" s="21" t="s">
        <v>33</v>
      </c>
      <c r="L181" s="21" t="s">
        <v>136</v>
      </c>
      <c r="M181" s="22">
        <v>19548000</v>
      </c>
    </row>
    <row r="182" spans="7:13" x14ac:dyDescent="0.25">
      <c r="G182" s="190"/>
      <c r="H182" s="21" t="s">
        <v>104</v>
      </c>
      <c r="I182" s="21">
        <v>2011</v>
      </c>
      <c r="J182" s="21" t="s">
        <v>109</v>
      </c>
      <c r="K182" s="21" t="s">
        <v>19</v>
      </c>
      <c r="L182" s="21" t="s">
        <v>110</v>
      </c>
      <c r="M182" s="22">
        <v>10280000</v>
      </c>
    </row>
    <row r="183" spans="7:13" x14ac:dyDescent="0.25">
      <c r="G183" s="190"/>
      <c r="H183" s="21" t="s">
        <v>104</v>
      </c>
      <c r="I183" s="21">
        <v>2010</v>
      </c>
      <c r="J183" s="21" t="s">
        <v>116</v>
      </c>
      <c r="K183" s="21" t="s">
        <v>33</v>
      </c>
      <c r="L183" s="21" t="s">
        <v>110</v>
      </c>
      <c r="M183" s="22">
        <v>8481000</v>
      </c>
    </row>
    <row r="184" spans="7:13" x14ac:dyDescent="0.25">
      <c r="G184" s="190"/>
      <c r="H184" s="21" t="s">
        <v>23</v>
      </c>
      <c r="I184" s="21">
        <v>2012</v>
      </c>
      <c r="J184" s="21" t="s">
        <v>28</v>
      </c>
      <c r="K184" s="21" t="s">
        <v>19</v>
      </c>
      <c r="L184" s="21" t="s">
        <v>29</v>
      </c>
      <c r="M184" s="22">
        <v>5825000</v>
      </c>
    </row>
    <row r="185" spans="7:13" x14ac:dyDescent="0.25">
      <c r="G185" s="190"/>
      <c r="H185" s="21" t="s">
        <v>23</v>
      </c>
      <c r="I185" s="21">
        <v>2009</v>
      </c>
      <c r="J185" s="21" t="s">
        <v>43</v>
      </c>
      <c r="K185" s="21" t="s">
        <v>44</v>
      </c>
      <c r="L185" s="21" t="s">
        <v>45</v>
      </c>
      <c r="M185" s="22">
        <v>50292000</v>
      </c>
    </row>
    <row r="186" spans="7:13" x14ac:dyDescent="0.25">
      <c r="G186" s="190"/>
      <c r="H186" s="21" t="s">
        <v>6</v>
      </c>
      <c r="I186" s="21">
        <v>2010</v>
      </c>
      <c r="J186" s="21" t="s">
        <v>7</v>
      </c>
      <c r="K186" s="21" t="s">
        <v>8</v>
      </c>
      <c r="L186" s="21" t="s">
        <v>9</v>
      </c>
      <c r="M186" s="22">
        <v>27800000</v>
      </c>
    </row>
    <row r="187" spans="7:13" x14ac:dyDescent="0.25">
      <c r="G187" s="190"/>
      <c r="H187" s="21" t="s">
        <v>6</v>
      </c>
      <c r="I187" s="21">
        <v>2012</v>
      </c>
      <c r="J187" s="21" t="s">
        <v>14</v>
      </c>
      <c r="K187" s="21" t="s">
        <v>8</v>
      </c>
      <c r="L187" s="21" t="s">
        <v>9</v>
      </c>
      <c r="M187" s="22">
        <v>33100000</v>
      </c>
    </row>
    <row r="188" spans="7:13" x14ac:dyDescent="0.25">
      <c r="G188" s="190"/>
      <c r="H188" s="21" t="s">
        <v>6</v>
      </c>
      <c r="I188" s="21">
        <v>2012</v>
      </c>
      <c r="J188" s="21" t="s">
        <v>15</v>
      </c>
      <c r="K188" s="21" t="s">
        <v>8</v>
      </c>
      <c r="L188" s="21" t="s">
        <v>9</v>
      </c>
      <c r="M188" s="22">
        <v>6400000</v>
      </c>
    </row>
    <row r="189" spans="7:13" x14ac:dyDescent="0.25">
      <c r="G189" s="190"/>
      <c r="H189" s="21" t="s">
        <v>6</v>
      </c>
      <c r="I189" s="21">
        <v>2016</v>
      </c>
      <c r="J189" s="21" t="s">
        <v>17</v>
      </c>
      <c r="K189" s="21" t="s">
        <v>8</v>
      </c>
      <c r="L189" s="21" t="s">
        <v>9</v>
      </c>
      <c r="M189" s="22">
        <v>43418000</v>
      </c>
    </row>
    <row r="190" spans="7:13" x14ac:dyDescent="0.25">
      <c r="G190" s="190"/>
      <c r="H190" s="21" t="s">
        <v>23</v>
      </c>
      <c r="I190" s="21">
        <v>2011</v>
      </c>
      <c r="J190" s="21" t="s">
        <v>37</v>
      </c>
      <c r="K190" s="21" t="s">
        <v>33</v>
      </c>
      <c r="L190" s="21" t="s">
        <v>9</v>
      </c>
      <c r="M190" s="22">
        <v>11798750</v>
      </c>
    </row>
    <row r="191" spans="7:13" x14ac:dyDescent="0.25">
      <c r="G191" s="190"/>
      <c r="H191" s="21" t="s">
        <v>47</v>
      </c>
      <c r="I191" s="21">
        <v>2012</v>
      </c>
      <c r="J191" s="21" t="s">
        <v>54</v>
      </c>
      <c r="K191" s="21" t="s">
        <v>8</v>
      </c>
      <c r="L191" s="21" t="s">
        <v>9</v>
      </c>
      <c r="M191" s="22">
        <v>43577799</v>
      </c>
    </row>
    <row r="192" spans="7:13" x14ac:dyDescent="0.25">
      <c r="G192" s="190"/>
      <c r="H192" s="21" t="s">
        <v>47</v>
      </c>
      <c r="I192" s="21">
        <v>2012</v>
      </c>
      <c r="J192" s="21" t="s">
        <v>68</v>
      </c>
      <c r="K192" s="21" t="s">
        <v>8</v>
      </c>
      <c r="L192" s="21" t="s">
        <v>9</v>
      </c>
      <c r="M192" s="22">
        <v>7936662</v>
      </c>
    </row>
    <row r="193" spans="7:13" x14ac:dyDescent="0.25">
      <c r="G193" s="190"/>
      <c r="H193" s="21" t="s">
        <v>47</v>
      </c>
      <c r="I193" s="21">
        <v>2016</v>
      </c>
      <c r="J193" s="21" t="s">
        <v>65</v>
      </c>
      <c r="K193" s="21" t="s">
        <v>8</v>
      </c>
      <c r="L193" s="21" t="s">
        <v>9</v>
      </c>
      <c r="M193" s="22">
        <v>19543856</v>
      </c>
    </row>
    <row r="194" spans="7:13" x14ac:dyDescent="0.25">
      <c r="G194" s="190"/>
      <c r="H194" s="21" t="s">
        <v>47</v>
      </c>
      <c r="I194" s="21">
        <v>2017</v>
      </c>
      <c r="J194" s="21" t="s">
        <v>70</v>
      </c>
      <c r="K194" s="21" t="s">
        <v>8</v>
      </c>
      <c r="L194" s="21" t="s">
        <v>9</v>
      </c>
      <c r="M194" s="22">
        <v>26228125</v>
      </c>
    </row>
    <row r="195" spans="7:13" x14ac:dyDescent="0.25">
      <c r="G195" s="190"/>
      <c r="H195" s="21" t="s">
        <v>89</v>
      </c>
      <c r="I195" s="21">
        <v>2010</v>
      </c>
      <c r="J195" s="21" t="s">
        <v>92</v>
      </c>
      <c r="K195" s="21" t="s">
        <v>8</v>
      </c>
      <c r="L195" s="21" t="s">
        <v>9</v>
      </c>
      <c r="M195" s="22">
        <v>38633403</v>
      </c>
    </row>
    <row r="196" spans="7:13" x14ac:dyDescent="0.25">
      <c r="G196" s="190"/>
      <c r="H196" s="21" t="s">
        <v>94</v>
      </c>
      <c r="I196" s="21">
        <v>2008</v>
      </c>
      <c r="J196" s="21" t="s">
        <v>99</v>
      </c>
      <c r="K196" s="21" t="s">
        <v>8</v>
      </c>
      <c r="L196" s="21" t="s">
        <v>9</v>
      </c>
      <c r="M196" s="22">
        <v>51016300</v>
      </c>
    </row>
    <row r="197" spans="7:13" x14ac:dyDescent="0.25">
      <c r="G197" s="190"/>
      <c r="H197" s="21" t="s">
        <v>94</v>
      </c>
      <c r="I197" s="21">
        <v>2012</v>
      </c>
      <c r="J197" s="21" t="s">
        <v>101</v>
      </c>
      <c r="K197" s="21" t="s">
        <v>19</v>
      </c>
      <c r="L197" s="21" t="s">
        <v>9</v>
      </c>
      <c r="M197" s="22">
        <v>9000000</v>
      </c>
    </row>
    <row r="198" spans="7:13" x14ac:dyDescent="0.25">
      <c r="G198" s="190"/>
      <c r="H198" s="21" t="s">
        <v>104</v>
      </c>
      <c r="I198" s="21">
        <v>2012</v>
      </c>
      <c r="J198" s="21" t="s">
        <v>106</v>
      </c>
      <c r="K198" s="21" t="s">
        <v>8</v>
      </c>
      <c r="L198" s="21" t="s">
        <v>9</v>
      </c>
      <c r="M198" s="22">
        <v>40632041</v>
      </c>
    </row>
    <row r="199" spans="7:13" x14ac:dyDescent="0.25">
      <c r="G199" s="190"/>
      <c r="H199" s="21" t="s">
        <v>119</v>
      </c>
      <c r="I199" s="21">
        <v>2013</v>
      </c>
      <c r="J199" s="21" t="s">
        <v>122</v>
      </c>
      <c r="K199" s="21" t="s">
        <v>121</v>
      </c>
      <c r="L199" s="21" t="s">
        <v>9</v>
      </c>
      <c r="M199" s="22">
        <v>26938797</v>
      </c>
    </row>
    <row r="200" spans="7:13" x14ac:dyDescent="0.25">
      <c r="G200" s="190"/>
      <c r="H200" s="21" t="s">
        <v>119</v>
      </c>
      <c r="I200" s="21">
        <v>2014</v>
      </c>
      <c r="J200" s="21" t="s">
        <v>123</v>
      </c>
      <c r="K200" s="21" t="s">
        <v>121</v>
      </c>
      <c r="L200" s="21" t="s">
        <v>9</v>
      </c>
      <c r="M200" s="22">
        <v>25698255</v>
      </c>
    </row>
    <row r="201" spans="7:13" x14ac:dyDescent="0.25">
      <c r="G201" s="190"/>
      <c r="H201" s="21" t="s">
        <v>129</v>
      </c>
      <c r="I201" s="21">
        <v>2009</v>
      </c>
      <c r="J201" s="21" t="s">
        <v>139</v>
      </c>
      <c r="K201" s="21" t="s">
        <v>8</v>
      </c>
      <c r="L201" s="21" t="s">
        <v>9</v>
      </c>
      <c r="M201" s="22">
        <v>8570989</v>
      </c>
    </row>
    <row r="202" spans="7:13" x14ac:dyDescent="0.25">
      <c r="G202" s="190"/>
      <c r="H202" s="21" t="s">
        <v>129</v>
      </c>
      <c r="I202" s="21">
        <v>2009</v>
      </c>
      <c r="J202" s="21" t="s">
        <v>132</v>
      </c>
      <c r="K202" s="21" t="s">
        <v>8</v>
      </c>
      <c r="L202" s="21" t="s">
        <v>9</v>
      </c>
      <c r="M202" s="22">
        <v>5629170</v>
      </c>
    </row>
    <row r="203" spans="7:13" x14ac:dyDescent="0.25">
      <c r="G203" s="190"/>
      <c r="H203" s="21" t="s">
        <v>129</v>
      </c>
      <c r="I203" s="21">
        <v>2010</v>
      </c>
      <c r="J203" s="21" t="s">
        <v>135</v>
      </c>
      <c r="K203" s="21" t="s">
        <v>8</v>
      </c>
      <c r="L203" s="21" t="s">
        <v>9</v>
      </c>
      <c r="M203" s="22">
        <v>8085128</v>
      </c>
    </row>
    <row r="204" spans="7:13" x14ac:dyDescent="0.25">
      <c r="G204" s="190"/>
      <c r="H204" s="21" t="s">
        <v>129</v>
      </c>
      <c r="I204" s="21">
        <v>2010</v>
      </c>
      <c r="J204" s="21" t="s">
        <v>138</v>
      </c>
      <c r="K204" s="21" t="s">
        <v>8</v>
      </c>
      <c r="L204" s="21" t="s">
        <v>9</v>
      </c>
      <c r="M204" s="22">
        <v>6208697</v>
      </c>
    </row>
    <row r="205" spans="7:13" x14ac:dyDescent="0.25">
      <c r="G205" s="190"/>
      <c r="H205" s="21" t="s">
        <v>129</v>
      </c>
      <c r="I205" s="21">
        <v>2008</v>
      </c>
      <c r="J205" s="21" t="s">
        <v>176</v>
      </c>
      <c r="K205" s="21" t="s">
        <v>8</v>
      </c>
      <c r="L205" s="21" t="s">
        <v>9</v>
      </c>
      <c r="M205" s="22">
        <v>5879274</v>
      </c>
    </row>
    <row r="206" spans="7:13" x14ac:dyDescent="0.25">
      <c r="G206" s="190"/>
      <c r="H206" s="21" t="s">
        <v>129</v>
      </c>
      <c r="I206" s="21">
        <v>2008</v>
      </c>
      <c r="J206" s="21" t="s">
        <v>167</v>
      </c>
      <c r="K206" s="21" t="s">
        <v>8</v>
      </c>
      <c r="L206" s="21" t="s">
        <v>9</v>
      </c>
      <c r="M206" s="22">
        <v>6568767</v>
      </c>
    </row>
    <row r="207" spans="7:13" x14ac:dyDescent="0.25">
      <c r="G207" s="190"/>
      <c r="H207" s="21" t="s">
        <v>129</v>
      </c>
      <c r="I207" s="21">
        <v>2009</v>
      </c>
      <c r="J207" s="21" t="s">
        <v>174</v>
      </c>
      <c r="K207" s="21" t="s">
        <v>8</v>
      </c>
      <c r="L207" s="21" t="s">
        <v>9</v>
      </c>
      <c r="M207" s="22">
        <v>13624746</v>
      </c>
    </row>
    <row r="208" spans="7:13" x14ac:dyDescent="0.25">
      <c r="G208" s="190"/>
      <c r="H208" s="21" t="s">
        <v>129</v>
      </c>
      <c r="I208" s="21">
        <v>2009</v>
      </c>
      <c r="J208" s="21" t="s">
        <v>175</v>
      </c>
      <c r="K208" s="21" t="s">
        <v>8</v>
      </c>
      <c r="L208" s="21" t="s">
        <v>9</v>
      </c>
      <c r="M208" s="22">
        <v>9180208</v>
      </c>
    </row>
    <row r="209" spans="7:13" x14ac:dyDescent="0.25">
      <c r="G209" s="190"/>
      <c r="H209" s="21" t="s">
        <v>129</v>
      </c>
      <c r="I209" s="21">
        <v>2009</v>
      </c>
      <c r="J209" s="21" t="s">
        <v>179</v>
      </c>
      <c r="K209" s="21" t="s">
        <v>33</v>
      </c>
      <c r="L209" s="21" t="s">
        <v>9</v>
      </c>
      <c r="M209" s="22">
        <v>12511436</v>
      </c>
    </row>
    <row r="210" spans="7:13" x14ac:dyDescent="0.25">
      <c r="G210" s="190"/>
      <c r="H210" s="21" t="s">
        <v>129</v>
      </c>
      <c r="I210" s="21">
        <v>2009</v>
      </c>
      <c r="J210" s="21" t="s">
        <v>180</v>
      </c>
      <c r="K210" s="21" t="s">
        <v>33</v>
      </c>
      <c r="L210" s="21" t="s">
        <v>9</v>
      </c>
      <c r="M210" s="22">
        <v>10759429</v>
      </c>
    </row>
    <row r="211" spans="7:13" x14ac:dyDescent="0.25">
      <c r="G211" s="190"/>
      <c r="H211" s="21" t="s">
        <v>129</v>
      </c>
      <c r="I211" s="21">
        <v>2010</v>
      </c>
      <c r="J211" s="21" t="s">
        <v>181</v>
      </c>
      <c r="K211" s="21" t="s">
        <v>33</v>
      </c>
      <c r="L211" s="21" t="s">
        <v>9</v>
      </c>
      <c r="M211" s="22">
        <v>26667697</v>
      </c>
    </row>
    <row r="212" spans="7:13" x14ac:dyDescent="0.25">
      <c r="G212" s="190"/>
      <c r="H212" s="21" t="s">
        <v>129</v>
      </c>
      <c r="I212" s="21">
        <v>2011</v>
      </c>
      <c r="J212" s="21" t="s">
        <v>182</v>
      </c>
      <c r="K212" s="21" t="s">
        <v>33</v>
      </c>
      <c r="L212" s="21" t="s">
        <v>9</v>
      </c>
      <c r="M212" s="22">
        <v>19078457</v>
      </c>
    </row>
    <row r="213" spans="7:13" x14ac:dyDescent="0.25">
      <c r="G213" s="190"/>
      <c r="H213" s="21" t="s">
        <v>189</v>
      </c>
      <c r="I213" s="21">
        <v>2013</v>
      </c>
      <c r="J213" s="21" t="s">
        <v>190</v>
      </c>
      <c r="K213" s="21" t="s">
        <v>8</v>
      </c>
      <c r="L213" s="21" t="s">
        <v>9</v>
      </c>
      <c r="M213" s="22">
        <v>7760889</v>
      </c>
    </row>
    <row r="214" spans="7:13" x14ac:dyDescent="0.25">
      <c r="G214" s="190"/>
      <c r="H214" s="21" t="s">
        <v>191</v>
      </c>
      <c r="I214" s="21">
        <v>2011</v>
      </c>
      <c r="J214" s="21" t="s">
        <v>201</v>
      </c>
      <c r="K214" s="21" t="s">
        <v>8</v>
      </c>
      <c r="L214" s="21" t="s">
        <v>9</v>
      </c>
      <c r="M214" s="22">
        <v>9500000</v>
      </c>
    </row>
    <row r="215" spans="7:13" x14ac:dyDescent="0.25">
      <c r="G215" s="190"/>
      <c r="H215" s="21" t="s">
        <v>191</v>
      </c>
      <c r="I215" s="21">
        <v>2014</v>
      </c>
      <c r="J215" s="21" t="s">
        <v>212</v>
      </c>
      <c r="K215" s="21" t="s">
        <v>33</v>
      </c>
      <c r="L215" s="21" t="s">
        <v>9</v>
      </c>
      <c r="M215" s="22">
        <v>18000000</v>
      </c>
    </row>
    <row r="216" spans="7:13" x14ac:dyDescent="0.25">
      <c r="G216" s="190"/>
      <c r="H216" s="21" t="s">
        <v>191</v>
      </c>
      <c r="I216" s="21">
        <v>2015</v>
      </c>
      <c r="J216" s="21" t="s">
        <v>222</v>
      </c>
      <c r="K216" s="21" t="s">
        <v>8</v>
      </c>
      <c r="L216" s="21" t="s">
        <v>9</v>
      </c>
      <c r="M216" s="22">
        <v>30600000</v>
      </c>
    </row>
    <row r="217" spans="7:13" x14ac:dyDescent="0.25">
      <c r="G217" s="190"/>
      <c r="H217" s="21" t="s">
        <v>191</v>
      </c>
      <c r="I217" s="21">
        <v>2017</v>
      </c>
      <c r="J217" s="21" t="s">
        <v>226</v>
      </c>
      <c r="K217" s="21" t="s">
        <v>8</v>
      </c>
      <c r="L217" s="21" t="s">
        <v>9</v>
      </c>
      <c r="M217" s="22">
        <v>15968301</v>
      </c>
    </row>
    <row r="218" spans="7:13" x14ac:dyDescent="0.25">
      <c r="G218" s="190"/>
      <c r="H218" s="21" t="s">
        <v>249</v>
      </c>
      <c r="I218" s="21">
        <v>2014</v>
      </c>
      <c r="J218" s="21" t="s">
        <v>258</v>
      </c>
      <c r="K218" s="21" t="s">
        <v>8</v>
      </c>
      <c r="L218" s="21" t="s">
        <v>9</v>
      </c>
      <c r="M218" s="22">
        <v>37092578</v>
      </c>
    </row>
    <row r="219" spans="7:13" x14ac:dyDescent="0.25">
      <c r="G219" s="190"/>
      <c r="H219" s="21" t="s">
        <v>249</v>
      </c>
      <c r="I219" s="21">
        <v>2013</v>
      </c>
      <c r="J219" s="21" t="s">
        <v>261</v>
      </c>
      <c r="K219" s="21" t="s">
        <v>33</v>
      </c>
      <c r="L219" s="21" t="s">
        <v>9</v>
      </c>
      <c r="M219" s="22">
        <v>33247088</v>
      </c>
    </row>
    <row r="220" spans="7:13" x14ac:dyDescent="0.25">
      <c r="G220" s="190"/>
      <c r="H220" s="21" t="s">
        <v>269</v>
      </c>
      <c r="I220" s="21">
        <v>2015</v>
      </c>
      <c r="J220" s="21" t="s">
        <v>274</v>
      </c>
      <c r="K220" s="21" t="s">
        <v>8</v>
      </c>
      <c r="L220" s="21" t="s">
        <v>9</v>
      </c>
      <c r="M220" s="22">
        <v>19521343</v>
      </c>
    </row>
    <row r="221" spans="7:13" x14ac:dyDescent="0.25">
      <c r="G221" s="190"/>
      <c r="H221" s="21" t="s">
        <v>277</v>
      </c>
      <c r="I221" s="21">
        <v>2012</v>
      </c>
      <c r="J221" s="21" t="s">
        <v>284</v>
      </c>
      <c r="K221" s="21" t="s">
        <v>8</v>
      </c>
      <c r="L221" s="21" t="s">
        <v>9</v>
      </c>
      <c r="M221" s="22">
        <v>20014505</v>
      </c>
    </row>
    <row r="222" spans="7:13" x14ac:dyDescent="0.25">
      <c r="G222" s="190"/>
      <c r="H222" s="21" t="s">
        <v>277</v>
      </c>
      <c r="I222" s="21">
        <v>2012</v>
      </c>
      <c r="J222" s="21" t="s">
        <v>286</v>
      </c>
      <c r="K222" s="21" t="s">
        <v>8</v>
      </c>
      <c r="L222" s="21" t="s">
        <v>9</v>
      </c>
      <c r="M222" s="22">
        <v>11770972</v>
      </c>
    </row>
    <row r="223" spans="7:13" x14ac:dyDescent="0.25">
      <c r="G223" s="190"/>
      <c r="H223" s="21" t="s">
        <v>277</v>
      </c>
      <c r="I223" s="21">
        <v>2012</v>
      </c>
      <c r="J223" s="21" t="s">
        <v>287</v>
      </c>
      <c r="K223" s="21" t="s">
        <v>8</v>
      </c>
      <c r="L223" s="21" t="s">
        <v>9</v>
      </c>
      <c r="M223" s="22">
        <v>7577000</v>
      </c>
    </row>
    <row r="224" spans="7:13" x14ac:dyDescent="0.25">
      <c r="G224" s="190"/>
      <c r="H224" s="21" t="s">
        <v>277</v>
      </c>
      <c r="I224" s="21">
        <v>2016</v>
      </c>
      <c r="J224" s="21" t="s">
        <v>291</v>
      </c>
      <c r="K224" s="21" t="s">
        <v>8</v>
      </c>
      <c r="L224" s="21" t="s">
        <v>9</v>
      </c>
      <c r="M224" s="22">
        <v>19463177</v>
      </c>
    </row>
    <row r="225" spans="7:13" x14ac:dyDescent="0.25">
      <c r="G225" s="190"/>
      <c r="H225" s="21" t="s">
        <v>47</v>
      </c>
      <c r="I225" s="21">
        <v>2017</v>
      </c>
      <c r="J225" s="21" t="s">
        <v>393</v>
      </c>
      <c r="K225" s="21" t="s">
        <v>8</v>
      </c>
      <c r="L225" s="21" t="s">
        <v>9</v>
      </c>
      <c r="M225" s="22">
        <v>49740352</v>
      </c>
    </row>
    <row r="226" spans="7:13" x14ac:dyDescent="0.25">
      <c r="G226" s="190"/>
      <c r="H226" s="21" t="s">
        <v>94</v>
      </c>
      <c r="I226" s="21">
        <v>2017</v>
      </c>
      <c r="J226" s="21" t="s">
        <v>415</v>
      </c>
      <c r="K226" s="21" t="s">
        <v>8</v>
      </c>
      <c r="L226" s="21" t="s">
        <v>9</v>
      </c>
      <c r="M226" s="22">
        <v>47788191</v>
      </c>
    </row>
    <row r="227" spans="7:13" x14ac:dyDescent="0.25">
      <c r="G227" s="190"/>
      <c r="H227" s="21" t="s">
        <v>94</v>
      </c>
      <c r="I227" s="21">
        <v>2017</v>
      </c>
      <c r="J227" s="21" t="s">
        <v>413</v>
      </c>
      <c r="K227" s="21" t="s">
        <v>8</v>
      </c>
      <c r="L227" s="21" t="s">
        <v>9</v>
      </c>
      <c r="M227" s="22">
        <v>60236552</v>
      </c>
    </row>
    <row r="228" spans="7:13" x14ac:dyDescent="0.25">
      <c r="G228" s="190"/>
      <c r="H228" s="21" t="s">
        <v>73</v>
      </c>
      <c r="I228" s="21">
        <v>2017</v>
      </c>
      <c r="J228" s="21" t="s">
        <v>87</v>
      </c>
      <c r="K228" s="21" t="s">
        <v>19</v>
      </c>
      <c r="L228" s="21" t="s">
        <v>88</v>
      </c>
      <c r="M228" s="22">
        <v>5192800</v>
      </c>
    </row>
    <row r="229" spans="7:13" x14ac:dyDescent="0.25">
      <c r="G229" s="190"/>
      <c r="H229" s="21" t="s">
        <v>249</v>
      </c>
      <c r="I229" s="21">
        <v>2019</v>
      </c>
      <c r="J229" s="21" t="s">
        <v>419</v>
      </c>
      <c r="K229" s="21" t="s">
        <v>19</v>
      </c>
      <c r="L229" s="21" t="s">
        <v>420</v>
      </c>
      <c r="M229" s="22">
        <v>5550474</v>
      </c>
    </row>
    <row r="230" spans="7:13" x14ac:dyDescent="0.25">
      <c r="G230" s="190"/>
      <c r="H230" s="21" t="s">
        <v>6</v>
      </c>
      <c r="I230" s="21">
        <v>2010</v>
      </c>
      <c r="J230" s="21" t="s">
        <v>10</v>
      </c>
      <c r="K230" s="21" t="s">
        <v>8</v>
      </c>
      <c r="L230" s="21" t="s">
        <v>11</v>
      </c>
      <c r="M230" s="22">
        <v>58700000</v>
      </c>
    </row>
    <row r="231" spans="7:13" x14ac:dyDescent="0.25">
      <c r="G231" s="190"/>
      <c r="H231" s="21" t="s">
        <v>6</v>
      </c>
      <c r="I231" s="21">
        <v>2011</v>
      </c>
      <c r="J231" s="21" t="s">
        <v>12</v>
      </c>
      <c r="K231" s="21" t="s">
        <v>8</v>
      </c>
      <c r="L231" s="21" t="s">
        <v>11</v>
      </c>
      <c r="M231" s="22">
        <v>16400000</v>
      </c>
    </row>
    <row r="232" spans="7:13" x14ac:dyDescent="0.25">
      <c r="G232" s="190"/>
      <c r="H232" s="21" t="s">
        <v>6</v>
      </c>
      <c r="I232" s="21">
        <v>2011</v>
      </c>
      <c r="J232" s="21" t="s">
        <v>13</v>
      </c>
      <c r="K232" s="21" t="s">
        <v>8</v>
      </c>
      <c r="L232" s="21" t="s">
        <v>11</v>
      </c>
      <c r="M232" s="22">
        <v>45100000</v>
      </c>
    </row>
    <row r="233" spans="7:13" x14ac:dyDescent="0.25">
      <c r="G233" s="190"/>
      <c r="H233" s="21" t="s">
        <v>6</v>
      </c>
      <c r="I233" s="21">
        <v>2014</v>
      </c>
      <c r="J233" s="21" t="s">
        <v>16</v>
      </c>
      <c r="K233" s="21" t="s">
        <v>8</v>
      </c>
      <c r="L233" s="21" t="s">
        <v>11</v>
      </c>
      <c r="M233" s="22">
        <v>42000000</v>
      </c>
    </row>
    <row r="234" spans="7:13" x14ac:dyDescent="0.25">
      <c r="G234" s="190"/>
      <c r="H234" s="21" t="s">
        <v>6</v>
      </c>
      <c r="I234" s="21">
        <v>2016</v>
      </c>
      <c r="J234" s="21" t="s">
        <v>18</v>
      </c>
      <c r="K234" s="21" t="s">
        <v>19</v>
      </c>
      <c r="L234" s="21" t="s">
        <v>11</v>
      </c>
      <c r="M234" s="22">
        <v>5835000</v>
      </c>
    </row>
    <row r="235" spans="7:13" x14ac:dyDescent="0.25">
      <c r="G235" s="190"/>
      <c r="H235" s="21" t="s">
        <v>6</v>
      </c>
      <c r="I235" s="21">
        <v>2017</v>
      </c>
      <c r="J235" s="21" t="s">
        <v>22</v>
      </c>
      <c r="K235" s="21" t="s">
        <v>8</v>
      </c>
      <c r="L235" s="21" t="s">
        <v>11</v>
      </c>
      <c r="M235" s="22">
        <v>50464532</v>
      </c>
    </row>
    <row r="236" spans="7:13" x14ac:dyDescent="0.25">
      <c r="G236" s="190"/>
      <c r="H236" s="21" t="s">
        <v>23</v>
      </c>
      <c r="I236" s="21">
        <v>2014</v>
      </c>
      <c r="J236" s="21" t="s">
        <v>25</v>
      </c>
      <c r="K236" s="21" t="s">
        <v>8</v>
      </c>
      <c r="L236" s="21" t="s">
        <v>11</v>
      </c>
      <c r="M236" s="22">
        <v>40509946</v>
      </c>
    </row>
    <row r="237" spans="7:13" x14ac:dyDescent="0.25">
      <c r="G237" s="190"/>
      <c r="H237" s="21" t="s">
        <v>23</v>
      </c>
      <c r="I237" s="21">
        <v>2010</v>
      </c>
      <c r="J237" s="21" t="s">
        <v>35</v>
      </c>
      <c r="K237" s="21" t="s">
        <v>33</v>
      </c>
      <c r="L237" s="21" t="s">
        <v>11</v>
      </c>
      <c r="M237" s="22">
        <v>8140138</v>
      </c>
    </row>
    <row r="238" spans="7:13" x14ac:dyDescent="0.25">
      <c r="G238" s="190"/>
      <c r="H238" s="21" t="s">
        <v>23</v>
      </c>
      <c r="I238" s="21">
        <v>2016</v>
      </c>
      <c r="J238" s="21" t="s">
        <v>46</v>
      </c>
      <c r="K238" s="21" t="s">
        <v>8</v>
      </c>
      <c r="L238" s="21" t="s">
        <v>11</v>
      </c>
      <c r="M238" s="22">
        <v>54797710</v>
      </c>
    </row>
    <row r="239" spans="7:13" x14ac:dyDescent="0.25">
      <c r="G239" s="190"/>
      <c r="H239" s="21" t="s">
        <v>104</v>
      </c>
      <c r="I239" s="21">
        <v>2010</v>
      </c>
      <c r="J239" s="21" t="s">
        <v>105</v>
      </c>
      <c r="K239" s="21" t="s">
        <v>8</v>
      </c>
      <c r="L239" s="21" t="s">
        <v>11</v>
      </c>
      <c r="M239" s="22">
        <v>35657770</v>
      </c>
    </row>
    <row r="240" spans="7:13" x14ac:dyDescent="0.25">
      <c r="G240" s="190"/>
      <c r="H240" s="21" t="s">
        <v>129</v>
      </c>
      <c r="I240" s="21">
        <v>2014</v>
      </c>
      <c r="J240" s="21" t="s">
        <v>151</v>
      </c>
      <c r="K240" s="21" t="s">
        <v>8</v>
      </c>
      <c r="L240" s="21" t="s">
        <v>11</v>
      </c>
      <c r="M240" s="22">
        <v>7995068</v>
      </c>
    </row>
    <row r="241" spans="7:13" x14ac:dyDescent="0.25">
      <c r="G241" s="190"/>
      <c r="H241" s="21" t="s">
        <v>129</v>
      </c>
      <c r="I241" s="21">
        <v>2014</v>
      </c>
      <c r="J241" s="21" t="s">
        <v>152</v>
      </c>
      <c r="K241" s="21" t="s">
        <v>8</v>
      </c>
      <c r="L241" s="21" t="s">
        <v>11</v>
      </c>
      <c r="M241" s="22">
        <v>7151160</v>
      </c>
    </row>
    <row r="242" spans="7:13" x14ac:dyDescent="0.25">
      <c r="G242" s="190"/>
      <c r="H242" s="21" t="s">
        <v>129</v>
      </c>
      <c r="I242" s="21">
        <v>2014</v>
      </c>
      <c r="J242" s="21" t="s">
        <v>153</v>
      </c>
      <c r="K242" s="21" t="s">
        <v>8</v>
      </c>
      <c r="L242" s="21" t="s">
        <v>11</v>
      </c>
      <c r="M242" s="22">
        <v>12565643</v>
      </c>
    </row>
    <row r="243" spans="7:13" x14ac:dyDescent="0.25">
      <c r="G243" s="190"/>
      <c r="H243" s="21" t="s">
        <v>129</v>
      </c>
      <c r="I243" s="21">
        <v>2017</v>
      </c>
      <c r="J243" s="21" t="s">
        <v>188</v>
      </c>
      <c r="K243" s="21" t="s">
        <v>8</v>
      </c>
      <c r="L243" s="21" t="s">
        <v>11</v>
      </c>
      <c r="M243" s="22">
        <v>43051269</v>
      </c>
    </row>
    <row r="244" spans="7:13" x14ac:dyDescent="0.25">
      <c r="G244" s="190"/>
      <c r="H244" s="21" t="s">
        <v>191</v>
      </c>
      <c r="I244" s="21">
        <v>2008</v>
      </c>
      <c r="J244" s="21" t="s">
        <v>102</v>
      </c>
      <c r="K244" s="21" t="s">
        <v>8</v>
      </c>
      <c r="L244" s="21" t="s">
        <v>11</v>
      </c>
      <c r="M244" s="22">
        <v>16190706</v>
      </c>
    </row>
    <row r="245" spans="7:13" x14ac:dyDescent="0.25">
      <c r="G245" s="190"/>
      <c r="H245" s="21" t="s">
        <v>191</v>
      </c>
      <c r="I245" s="21">
        <v>2009</v>
      </c>
      <c r="J245" s="21" t="s">
        <v>194</v>
      </c>
      <c r="K245" s="21" t="s">
        <v>8</v>
      </c>
      <c r="L245" s="21" t="s">
        <v>11</v>
      </c>
      <c r="M245" s="22">
        <v>8360843</v>
      </c>
    </row>
    <row r="246" spans="7:13" x14ac:dyDescent="0.25">
      <c r="G246" s="190"/>
      <c r="H246" s="21" t="s">
        <v>191</v>
      </c>
      <c r="I246" s="21">
        <v>2012</v>
      </c>
      <c r="J246" s="21" t="s">
        <v>205</v>
      </c>
      <c r="K246" s="21" t="s">
        <v>8</v>
      </c>
      <c r="L246" s="21" t="s">
        <v>11</v>
      </c>
      <c r="M246" s="22">
        <v>15382088</v>
      </c>
    </row>
    <row r="247" spans="7:13" x14ac:dyDescent="0.25">
      <c r="G247" s="190"/>
      <c r="H247" s="21" t="s">
        <v>191</v>
      </c>
      <c r="I247" s="21">
        <v>2017</v>
      </c>
      <c r="J247" s="21" t="s">
        <v>224</v>
      </c>
      <c r="K247" s="21" t="s">
        <v>33</v>
      </c>
      <c r="L247" s="21" t="s">
        <v>11</v>
      </c>
      <c r="M247" s="22">
        <v>14329153</v>
      </c>
    </row>
    <row r="248" spans="7:13" x14ac:dyDescent="0.25">
      <c r="G248" s="190"/>
      <c r="H248" s="21" t="s">
        <v>227</v>
      </c>
      <c r="I248" s="21">
        <v>2011</v>
      </c>
      <c r="J248" s="21" t="s">
        <v>235</v>
      </c>
      <c r="K248" s="21" t="s">
        <v>8</v>
      </c>
      <c r="L248" s="21" t="s">
        <v>11</v>
      </c>
      <c r="M248" s="22">
        <v>27386900</v>
      </c>
    </row>
    <row r="249" spans="7:13" x14ac:dyDescent="0.25">
      <c r="G249" s="190"/>
      <c r="H249" s="21" t="s">
        <v>227</v>
      </c>
      <c r="I249" s="21">
        <v>2014</v>
      </c>
      <c r="J249" s="21" t="s">
        <v>236</v>
      </c>
      <c r="K249" s="21" t="s">
        <v>8</v>
      </c>
      <c r="L249" s="21" t="s">
        <v>11</v>
      </c>
      <c r="M249" s="22">
        <v>18887949</v>
      </c>
    </row>
    <row r="250" spans="7:13" x14ac:dyDescent="0.25">
      <c r="G250" s="190"/>
      <c r="H250" s="21" t="s">
        <v>227</v>
      </c>
      <c r="I250" s="21">
        <v>2009</v>
      </c>
      <c r="J250" s="21" t="s">
        <v>242</v>
      </c>
      <c r="K250" s="21" t="s">
        <v>8</v>
      </c>
      <c r="L250" s="21" t="s">
        <v>11</v>
      </c>
      <c r="M250" s="22">
        <v>19512264</v>
      </c>
    </row>
    <row r="251" spans="7:13" x14ac:dyDescent="0.25">
      <c r="G251" s="190"/>
      <c r="H251" s="21" t="s">
        <v>249</v>
      </c>
      <c r="I251" s="21">
        <v>2011</v>
      </c>
      <c r="J251" s="21" t="s">
        <v>264</v>
      </c>
      <c r="K251" s="21" t="s">
        <v>33</v>
      </c>
      <c r="L251" s="21" t="s">
        <v>11</v>
      </c>
      <c r="M251" s="22">
        <v>33205861</v>
      </c>
    </row>
    <row r="252" spans="7:13" x14ac:dyDescent="0.25">
      <c r="G252" s="190"/>
      <c r="H252" s="21" t="s">
        <v>249</v>
      </c>
      <c r="I252" s="21">
        <v>2015</v>
      </c>
      <c r="J252" s="21" t="s">
        <v>267</v>
      </c>
      <c r="K252" s="21" t="s">
        <v>8</v>
      </c>
      <c r="L252" s="21" t="s">
        <v>11</v>
      </c>
      <c r="M252" s="22">
        <v>61494549</v>
      </c>
    </row>
    <row r="253" spans="7:13" x14ac:dyDescent="0.25">
      <c r="G253" s="190"/>
      <c r="H253" s="21" t="s">
        <v>269</v>
      </c>
      <c r="I253" s="21">
        <v>2012</v>
      </c>
      <c r="J253" s="21" t="s">
        <v>272</v>
      </c>
      <c r="K253" s="21" t="s">
        <v>8</v>
      </c>
      <c r="L253" s="21" t="s">
        <v>11</v>
      </c>
      <c r="M253" s="22">
        <v>66737161</v>
      </c>
    </row>
    <row r="254" spans="7:13" x14ac:dyDescent="0.25">
      <c r="G254" s="190"/>
      <c r="H254" s="21" t="s">
        <v>269</v>
      </c>
      <c r="I254" s="21">
        <v>2017</v>
      </c>
      <c r="J254" s="21" t="s">
        <v>276</v>
      </c>
      <c r="K254" s="21" t="s">
        <v>8</v>
      </c>
      <c r="L254" s="21" t="s">
        <v>11</v>
      </c>
      <c r="M254" s="22">
        <v>43275000</v>
      </c>
    </row>
    <row r="255" spans="7:13" x14ac:dyDescent="0.25">
      <c r="G255" s="190"/>
      <c r="H255" s="21" t="s">
        <v>269</v>
      </c>
      <c r="I255" s="21">
        <v>2018</v>
      </c>
      <c r="J255" s="21" t="s">
        <v>363</v>
      </c>
      <c r="K255" s="21" t="s">
        <v>8</v>
      </c>
      <c r="L255" s="21" t="s">
        <v>11</v>
      </c>
      <c r="M255" s="128">
        <v>44188000</v>
      </c>
    </row>
    <row r="256" spans="7:13" x14ac:dyDescent="0.25">
      <c r="G256" s="190"/>
      <c r="H256" s="21" t="s">
        <v>277</v>
      </c>
      <c r="I256" s="21">
        <v>2009</v>
      </c>
      <c r="J256" s="21" t="s">
        <v>279</v>
      </c>
      <c r="K256" s="21" t="s">
        <v>8</v>
      </c>
      <c r="L256" s="21" t="s">
        <v>11</v>
      </c>
      <c r="M256" s="22">
        <v>5881832</v>
      </c>
    </row>
    <row r="257" spans="7:13" x14ac:dyDescent="0.25">
      <c r="G257" s="190"/>
      <c r="H257" s="21" t="s">
        <v>277</v>
      </c>
      <c r="I257" s="21">
        <v>2011</v>
      </c>
      <c r="J257" s="21" t="s">
        <v>280</v>
      </c>
      <c r="K257" s="21" t="s">
        <v>8</v>
      </c>
      <c r="L257" s="21" t="s">
        <v>11</v>
      </c>
      <c r="M257" s="22">
        <v>53526409</v>
      </c>
    </row>
    <row r="258" spans="7:13" x14ac:dyDescent="0.25">
      <c r="G258" s="190"/>
      <c r="H258" s="21" t="s">
        <v>277</v>
      </c>
      <c r="I258" s="21">
        <v>2012</v>
      </c>
      <c r="J258" s="21" t="s">
        <v>285</v>
      </c>
      <c r="K258" s="21" t="s">
        <v>8</v>
      </c>
      <c r="L258" s="21" t="s">
        <v>11</v>
      </c>
      <c r="M258" s="22">
        <v>7334710</v>
      </c>
    </row>
    <row r="259" spans="7:13" x14ac:dyDescent="0.25">
      <c r="G259" s="190"/>
      <c r="H259" s="21" t="s">
        <v>277</v>
      </c>
      <c r="I259" s="21">
        <v>2016</v>
      </c>
      <c r="J259" s="21" t="s">
        <v>407</v>
      </c>
      <c r="K259" s="21" t="s">
        <v>8</v>
      </c>
      <c r="L259" s="21" t="s">
        <v>11</v>
      </c>
      <c r="M259" s="22">
        <v>15600000</v>
      </c>
    </row>
    <row r="260" spans="7:13" x14ac:dyDescent="0.25">
      <c r="G260" s="190"/>
      <c r="H260" s="21" t="s">
        <v>23</v>
      </c>
      <c r="I260" s="21">
        <v>2018</v>
      </c>
      <c r="J260" s="21" t="s">
        <v>378</v>
      </c>
      <c r="K260" s="21" t="s">
        <v>8</v>
      </c>
      <c r="L260" s="21" t="s">
        <v>11</v>
      </c>
      <c r="M260" s="22">
        <v>45552547</v>
      </c>
    </row>
    <row r="261" spans="7:13" x14ac:dyDescent="0.25">
      <c r="G261" s="190"/>
      <c r="H261" s="21" t="s">
        <v>23</v>
      </c>
      <c r="I261" s="21">
        <v>2021</v>
      </c>
      <c r="J261" s="21" t="s">
        <v>379</v>
      </c>
      <c r="K261" s="21" t="s">
        <v>8</v>
      </c>
      <c r="L261" s="21" t="s">
        <v>11</v>
      </c>
      <c r="M261" s="22">
        <v>97578892</v>
      </c>
    </row>
    <row r="262" spans="7:13" x14ac:dyDescent="0.25">
      <c r="G262" s="190"/>
      <c r="H262" s="21" t="s">
        <v>119</v>
      </c>
      <c r="I262" s="21">
        <v>2020</v>
      </c>
      <c r="J262" s="21" t="s">
        <v>399</v>
      </c>
      <c r="K262" s="21" t="s">
        <v>8</v>
      </c>
      <c r="L262" s="21" t="s">
        <v>11</v>
      </c>
      <c r="M262" s="22">
        <v>23201260</v>
      </c>
    </row>
    <row r="263" spans="7:13" x14ac:dyDescent="0.25">
      <c r="G263" s="190"/>
      <c r="H263" s="21" t="s">
        <v>277</v>
      </c>
      <c r="I263" s="21">
        <v>2020</v>
      </c>
      <c r="J263" s="21" t="s">
        <v>402</v>
      </c>
      <c r="K263" s="21" t="s">
        <v>8</v>
      </c>
      <c r="L263" s="21" t="s">
        <v>11</v>
      </c>
      <c r="M263" s="22">
        <v>122718484</v>
      </c>
    </row>
    <row r="264" spans="7:13" x14ac:dyDescent="0.25">
      <c r="G264" s="190"/>
    </row>
    <row r="265" spans="7:13" x14ac:dyDescent="0.25">
      <c r="H265" s="21"/>
    </row>
    <row r="267" spans="7:13" x14ac:dyDescent="0.25">
      <c r="I267">
        <f>COUNTA(L2:L266)</f>
        <v>262</v>
      </c>
      <c r="M267" s="1">
        <f>SUM(M2:M263)</f>
        <v>6321003753</v>
      </c>
    </row>
  </sheetData>
  <sortState ref="H2:M264">
    <sortCondition ref="L2:L264"/>
  </sortState>
  <mergeCells count="2">
    <mergeCell ref="H1:M1"/>
    <mergeCell ref="O1:T1"/>
  </mergeCells>
  <pageMargins left="0.25" right="0.25" top="0.75" bottom="0.75" header="0.3" footer="0.3"/>
  <pageSetup paperSize="5" scale="46" orientation="portrait" r:id="rId1"/>
  <headerFooter>
    <oddHeader>&amp;C&amp;"-,Bold"&amp;12BUILDER FACT SHEET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Q65"/>
  <sheetViews>
    <sheetView tabSelected="1" zoomScaleNormal="100" workbookViewId="0">
      <selection activeCell="I18" sqref="I18"/>
    </sheetView>
  </sheetViews>
  <sheetFormatPr defaultRowHeight="15" x14ac:dyDescent="0.25"/>
  <cols>
    <col min="1" max="1" width="34" bestFit="1" customWidth="1"/>
    <col min="2" max="2" width="13.85546875" bestFit="1" customWidth="1"/>
    <col min="3" max="3" width="14.7109375" bestFit="1" customWidth="1"/>
    <col min="4" max="4" width="19.5703125" bestFit="1" customWidth="1"/>
    <col min="5" max="5" width="12.5703125" bestFit="1" customWidth="1"/>
    <col min="8" max="8" width="23.28515625" bestFit="1" customWidth="1"/>
    <col min="9" max="9" width="32" bestFit="1" customWidth="1"/>
    <col min="10" max="10" width="13.85546875" bestFit="1" customWidth="1"/>
    <col min="11" max="11" width="13.140625" bestFit="1" customWidth="1"/>
    <col min="12" max="12" width="17.5703125" bestFit="1" customWidth="1"/>
    <col min="13" max="13" width="12" bestFit="1" customWidth="1"/>
    <col min="15" max="15" width="13.85546875" bestFit="1" customWidth="1"/>
    <col min="17" max="17" width="13.85546875" bestFit="1" customWidth="1"/>
  </cols>
  <sheetData>
    <row r="1" spans="1:17" ht="16.5" thickBot="1" x14ac:dyDescent="0.3">
      <c r="A1" s="94" t="s">
        <v>345</v>
      </c>
      <c r="B1" s="94" t="s">
        <v>5</v>
      </c>
      <c r="C1" s="94" t="s">
        <v>320</v>
      </c>
      <c r="D1" s="94" t="s">
        <v>346</v>
      </c>
      <c r="E1" s="94" t="s">
        <v>347</v>
      </c>
      <c r="F1" s="95" t="s">
        <v>350</v>
      </c>
      <c r="H1" s="239" t="s">
        <v>439</v>
      </c>
      <c r="I1" s="240"/>
      <c r="J1" s="240"/>
      <c r="K1" s="240"/>
      <c r="L1" s="240"/>
      <c r="M1" s="241"/>
    </row>
    <row r="2" spans="1:17" x14ac:dyDescent="0.25">
      <c r="A2" s="127" t="s">
        <v>11</v>
      </c>
      <c r="B2" s="1">
        <f>'BUILDER FACT SHEET'!B62</f>
        <v>1168712844</v>
      </c>
      <c r="C2">
        <f>'BUILDER FACT SHEET'!C62</f>
        <v>34</v>
      </c>
      <c r="D2" s="16">
        <f>C2/C65</f>
        <v>0.12977099236641221</v>
      </c>
      <c r="E2" s="16">
        <f>B2/B65</f>
        <v>0.18489355325019691</v>
      </c>
      <c r="F2">
        <v>1</v>
      </c>
      <c r="H2" s="98" t="s">
        <v>352</v>
      </c>
      <c r="I2" s="99" t="s">
        <v>351</v>
      </c>
      <c r="J2" s="99" t="s">
        <v>5</v>
      </c>
      <c r="K2" s="99" t="s">
        <v>320</v>
      </c>
      <c r="L2" s="99" t="s">
        <v>346</v>
      </c>
      <c r="M2" s="100" t="s">
        <v>347</v>
      </c>
      <c r="O2" s="1"/>
      <c r="Q2" s="1"/>
    </row>
    <row r="3" spans="1:17" x14ac:dyDescent="0.25">
      <c r="A3" s="127" t="s">
        <v>9</v>
      </c>
      <c r="B3" s="1">
        <f>'BUILDER FACT SHEET'!B59</f>
        <v>932766934</v>
      </c>
      <c r="C3">
        <f>'BUILDER FACT SHEET'!C59</f>
        <v>42</v>
      </c>
      <c r="D3" s="16">
        <f>C3/C65</f>
        <v>0.16030534351145037</v>
      </c>
      <c r="E3" s="16">
        <f>B3/B65</f>
        <v>0.1475662680246474</v>
      </c>
      <c r="F3">
        <v>2</v>
      </c>
      <c r="H3" s="96">
        <v>1</v>
      </c>
      <c r="I3" s="6" t="str">
        <f t="shared" ref="I3:I5" si="0">A2</f>
        <v>Whiting-Turner Contracting Co</v>
      </c>
      <c r="J3" s="7">
        <f>B2</f>
        <v>1168712844</v>
      </c>
      <c r="K3" s="6">
        <f t="shared" ref="K3:K5" si="1">C2</f>
        <v>34</v>
      </c>
      <c r="L3" s="18">
        <f t="shared" ref="L3:L5" si="2">D2</f>
        <v>0.12977099236641221</v>
      </c>
      <c r="M3" s="29">
        <f t="shared" ref="M3:M5" si="3">E2</f>
        <v>0.18489355325019691</v>
      </c>
      <c r="O3" s="16"/>
    </row>
    <row r="4" spans="1:17" x14ac:dyDescent="0.25">
      <c r="A4" s="127" t="s">
        <v>52</v>
      </c>
      <c r="B4" s="1">
        <f>'BUILDER FACT SHEET'!B51</f>
        <v>596417401</v>
      </c>
      <c r="C4">
        <f>'BUILDER FACT SHEET'!C51</f>
        <v>16</v>
      </c>
      <c r="D4" s="16">
        <f>C4/C65</f>
        <v>6.1068702290076333E-2</v>
      </c>
      <c r="E4" s="16">
        <f>B4/B65</f>
        <v>9.4354856333843412E-2</v>
      </c>
      <c r="F4">
        <v>3</v>
      </c>
      <c r="H4" s="96">
        <v>2</v>
      </c>
      <c r="I4" s="6" t="str">
        <f t="shared" si="0"/>
        <v>W.M. Jordan Company, Inc.</v>
      </c>
      <c r="J4" s="7">
        <f t="shared" ref="J4:J5" si="4">B3</f>
        <v>932766934</v>
      </c>
      <c r="K4" s="6">
        <f t="shared" si="1"/>
        <v>42</v>
      </c>
      <c r="L4" s="18">
        <f t="shared" si="2"/>
        <v>0.16030534351145037</v>
      </c>
      <c r="M4" s="29">
        <f t="shared" si="3"/>
        <v>0.1475662680246474</v>
      </c>
      <c r="O4" s="1"/>
    </row>
    <row r="5" spans="1:17" x14ac:dyDescent="0.25">
      <c r="A5" s="127" t="s">
        <v>69</v>
      </c>
      <c r="B5" s="1">
        <f>'BUILDER FACT SHEET'!B49</f>
        <v>589345019</v>
      </c>
      <c r="C5">
        <f>'BUILDER FACT SHEET'!C49</f>
        <v>16</v>
      </c>
      <c r="D5" s="16">
        <f>C5/C65</f>
        <v>6.1068702290076333E-2</v>
      </c>
      <c r="E5" s="16">
        <f>B5/B65</f>
        <v>9.3235986249856601E-2</v>
      </c>
      <c r="F5">
        <v>4</v>
      </c>
      <c r="H5" s="96">
        <v>3</v>
      </c>
      <c r="I5" s="6" t="str">
        <f t="shared" si="0"/>
        <v>Skanska USA Building</v>
      </c>
      <c r="J5" s="7">
        <f t="shared" si="4"/>
        <v>596417401</v>
      </c>
      <c r="K5" s="6">
        <f t="shared" si="1"/>
        <v>16</v>
      </c>
      <c r="L5" s="18">
        <f t="shared" si="2"/>
        <v>6.1068702290076333E-2</v>
      </c>
      <c r="M5" s="29">
        <f t="shared" si="3"/>
        <v>9.4354856333843412E-2</v>
      </c>
      <c r="O5" s="16"/>
    </row>
    <row r="6" spans="1:17" x14ac:dyDescent="0.25">
      <c r="A6" s="127" t="s">
        <v>58</v>
      </c>
      <c r="B6" s="1">
        <f>'BUILDER FACT SHEET'!B35</f>
        <v>445660881</v>
      </c>
      <c r="C6">
        <f>'BUILDER FACT SHEET'!C35</f>
        <v>17</v>
      </c>
      <c r="D6" s="16">
        <f>+C6/C65</f>
        <v>6.4885496183206104E-2</v>
      </c>
      <c r="E6" s="16">
        <f>B6/B65</f>
        <v>7.0504764498594968E-2</v>
      </c>
      <c r="F6">
        <v>5</v>
      </c>
      <c r="H6" s="96">
        <v>4</v>
      </c>
      <c r="I6" s="6" t="str">
        <f t="shared" ref="I6:M12" si="5">A5</f>
        <v>S.B. Ballard Construction Company</v>
      </c>
      <c r="J6" s="7">
        <f t="shared" si="5"/>
        <v>589345019</v>
      </c>
      <c r="K6" s="6">
        <f t="shared" si="5"/>
        <v>16</v>
      </c>
      <c r="L6" s="18">
        <f t="shared" si="5"/>
        <v>6.1068702290076333E-2</v>
      </c>
      <c r="M6" s="29">
        <f t="shared" si="5"/>
        <v>9.3235986249856601E-2</v>
      </c>
    </row>
    <row r="7" spans="1:17" x14ac:dyDescent="0.25">
      <c r="A7" s="127" t="s">
        <v>49</v>
      </c>
      <c r="B7" s="1">
        <f>'BUILDER FACT SHEET'!B14</f>
        <v>364610936</v>
      </c>
      <c r="C7">
        <f>'BUILDER FACT SHEET'!C14</f>
        <v>15</v>
      </c>
      <c r="D7" s="16">
        <f>C7/C65</f>
        <v>5.7251908396946563E-2</v>
      </c>
      <c r="E7" s="16">
        <f>B7/B65</f>
        <v>5.7682442575192693E-2</v>
      </c>
      <c r="F7">
        <v>6</v>
      </c>
      <c r="H7" s="96">
        <v>5</v>
      </c>
      <c r="I7" s="6" t="str">
        <f t="shared" si="5"/>
        <v>Kjellstrom &amp; Lee, Inc.</v>
      </c>
      <c r="J7" s="7">
        <f t="shared" si="5"/>
        <v>445660881</v>
      </c>
      <c r="K7" s="6">
        <f t="shared" si="5"/>
        <v>17</v>
      </c>
      <c r="L7" s="18">
        <f t="shared" si="5"/>
        <v>6.4885496183206104E-2</v>
      </c>
      <c r="M7" s="29">
        <f t="shared" si="5"/>
        <v>7.0504764498594968E-2</v>
      </c>
    </row>
    <row r="8" spans="1:17" x14ac:dyDescent="0.25">
      <c r="A8" s="127" t="s">
        <v>143</v>
      </c>
      <c r="B8" s="1">
        <f>'BUILDER FACT SHEET'!B6</f>
        <v>332600234</v>
      </c>
      <c r="C8">
        <f>'BUILDER FACT SHEET'!C6</f>
        <v>10</v>
      </c>
      <c r="D8" s="16">
        <f>C8/C65</f>
        <v>3.8167938931297711E-2</v>
      </c>
      <c r="E8" s="16">
        <f>B8/B65</f>
        <v>5.261826238311363E-2</v>
      </c>
      <c r="F8">
        <v>7</v>
      </c>
      <c r="H8" s="96">
        <v>6</v>
      </c>
      <c r="I8" s="6" t="str">
        <f t="shared" si="5"/>
        <v>Donley's LLC.</v>
      </c>
      <c r="J8" s="7">
        <f>B7</f>
        <v>364610936</v>
      </c>
      <c r="K8" s="6">
        <f t="shared" si="5"/>
        <v>15</v>
      </c>
      <c r="L8" s="18">
        <f t="shared" si="5"/>
        <v>5.7251908396946563E-2</v>
      </c>
      <c r="M8" s="29">
        <f t="shared" si="5"/>
        <v>5.7682442575192693E-2</v>
      </c>
      <c r="O8" s="85"/>
    </row>
    <row r="9" spans="1:17" x14ac:dyDescent="0.25">
      <c r="A9" s="127" t="s">
        <v>146</v>
      </c>
      <c r="B9" s="1">
        <f>'BUILDER FACT SHEET'!B21</f>
        <v>288039067</v>
      </c>
      <c r="C9">
        <f>'BUILDER FACT SHEET'!C21</f>
        <v>9</v>
      </c>
      <c r="D9" s="16">
        <f>C9/C65</f>
        <v>3.4351145038167941E-2</v>
      </c>
      <c r="E9" s="16">
        <f>B9/B65</f>
        <v>4.556856446466976E-2</v>
      </c>
      <c r="F9">
        <v>8</v>
      </c>
      <c r="H9" s="96">
        <v>7</v>
      </c>
      <c r="I9" s="6" t="str">
        <f t="shared" si="5"/>
        <v>Barton Malow Company</v>
      </c>
      <c r="J9" s="7">
        <f t="shared" si="5"/>
        <v>332600234</v>
      </c>
      <c r="K9" s="6">
        <f t="shared" si="5"/>
        <v>10</v>
      </c>
      <c r="L9" s="18">
        <f t="shared" si="5"/>
        <v>3.8167938931297711E-2</v>
      </c>
      <c r="M9" s="29">
        <f t="shared" si="5"/>
        <v>5.261826238311363E-2</v>
      </c>
    </row>
    <row r="10" spans="1:17" x14ac:dyDescent="0.25">
      <c r="A10" s="127" t="s">
        <v>75</v>
      </c>
      <c r="B10" s="1">
        <f>'BUILDER FACT SHEET'!B8</f>
        <v>246279492</v>
      </c>
      <c r="C10">
        <f>'BUILDER FACT SHEET'!C8</f>
        <v>15</v>
      </c>
      <c r="D10" s="16">
        <f>C10/C65</f>
        <v>5.7251908396946563E-2</v>
      </c>
      <c r="E10" s="16">
        <f>B10/B65</f>
        <v>3.8962086026782333E-2</v>
      </c>
      <c r="F10">
        <v>9</v>
      </c>
      <c r="H10" s="96">
        <v>8</v>
      </c>
      <c r="I10" s="6" t="str">
        <f t="shared" si="5"/>
        <v>Gilbane Building Company</v>
      </c>
      <c r="J10" s="7">
        <f t="shared" si="5"/>
        <v>288039067</v>
      </c>
      <c r="K10" s="6">
        <f t="shared" si="5"/>
        <v>9</v>
      </c>
      <c r="L10" s="18">
        <f t="shared" si="5"/>
        <v>3.4351145038167941E-2</v>
      </c>
      <c r="M10" s="29">
        <f t="shared" si="5"/>
        <v>4.556856446466976E-2</v>
      </c>
    </row>
    <row r="11" spans="1:17" x14ac:dyDescent="0.25">
      <c r="A11" s="127" t="s">
        <v>178</v>
      </c>
      <c r="B11" s="1">
        <f>'BUILDER FACT SHEET'!B27</f>
        <v>203276732</v>
      </c>
      <c r="C11">
        <f>'BUILDER FACT SHEET'!C27</f>
        <v>4</v>
      </c>
      <c r="D11" s="16">
        <f>C11/C65</f>
        <v>1.5267175572519083E-2</v>
      </c>
      <c r="E11" s="16">
        <f>B11/B65</f>
        <v>3.2158932337846377E-2</v>
      </c>
      <c r="F11">
        <v>10</v>
      </c>
      <c r="H11" s="96">
        <v>9</v>
      </c>
      <c r="I11" s="6" t="str">
        <f t="shared" si="5"/>
        <v>Branch &amp; Associates, Inc.</v>
      </c>
      <c r="J11" s="7">
        <f t="shared" si="5"/>
        <v>246279492</v>
      </c>
      <c r="K11" s="6">
        <f t="shared" si="5"/>
        <v>15</v>
      </c>
      <c r="L11" s="18">
        <f t="shared" si="5"/>
        <v>5.7251908396946563E-2</v>
      </c>
      <c r="M11" s="29">
        <f t="shared" si="5"/>
        <v>3.8962086026782333E-2</v>
      </c>
    </row>
    <row r="12" spans="1:17" ht="15.75" thickBot="1" x14ac:dyDescent="0.3">
      <c r="A12" t="s">
        <v>229</v>
      </c>
      <c r="B12" s="1">
        <f>'BUILDER FACT SHEET'!B28</f>
        <v>165152133</v>
      </c>
      <c r="C12">
        <f>'BUILDER FACT SHEET'!C28</f>
        <v>5</v>
      </c>
      <c r="D12" s="16">
        <f>C12/C65</f>
        <v>1.9083969465648856E-2</v>
      </c>
      <c r="E12" s="16">
        <f>B12/B65</f>
        <v>2.6127516997852984E-2</v>
      </c>
      <c r="F12">
        <v>11</v>
      </c>
      <c r="H12" s="97">
        <v>10</v>
      </c>
      <c r="I12" s="28" t="str">
        <f t="shared" si="5"/>
        <v>Holder Construction Group, LLC.</v>
      </c>
      <c r="J12" s="32">
        <f t="shared" si="5"/>
        <v>203276732</v>
      </c>
      <c r="K12" s="28">
        <f t="shared" si="5"/>
        <v>4</v>
      </c>
      <c r="L12" s="30">
        <f t="shared" si="5"/>
        <v>1.5267175572519083E-2</v>
      </c>
      <c r="M12" s="31">
        <f t="shared" si="5"/>
        <v>3.2158932337846377E-2</v>
      </c>
    </row>
    <row r="13" spans="1:17" x14ac:dyDescent="0.25">
      <c r="A13" t="s">
        <v>31</v>
      </c>
      <c r="B13" s="1">
        <f>'BUILDER FACT SHEET'!B5</f>
        <v>83997632</v>
      </c>
      <c r="C13">
        <f>'BUILDER FACT SHEET'!C5</f>
        <v>4</v>
      </c>
      <c r="D13" s="16">
        <f>C13/C65</f>
        <v>1.5267175572519083E-2</v>
      </c>
      <c r="E13" s="16">
        <f>B13/B65</f>
        <v>1.3288654030640947E-2</v>
      </c>
      <c r="F13">
        <v>12</v>
      </c>
      <c r="I13" s="52" t="s">
        <v>446</v>
      </c>
      <c r="J13" s="22">
        <f>SUM(J3:J12)</f>
        <v>5167709540</v>
      </c>
      <c r="K13">
        <f>SUM(K3:K12)</f>
        <v>178</v>
      </c>
      <c r="M13" s="16">
        <f>SUM(M3:M12)</f>
        <v>0.81754571614474414</v>
      </c>
    </row>
    <row r="14" spans="1:17" x14ac:dyDescent="0.25">
      <c r="A14" s="19" t="s">
        <v>61</v>
      </c>
      <c r="B14" s="20">
        <f>'BUILDER FACT SHEET'!B42</f>
        <v>78934982</v>
      </c>
      <c r="C14" s="19">
        <f>'BUILDER FACT SHEET'!C42</f>
        <v>5</v>
      </c>
      <c r="D14" s="124">
        <f>C14/C65</f>
        <v>1.9083969465648856E-2</v>
      </c>
      <c r="E14" s="124">
        <f>B14/B65</f>
        <v>1.2487729019704633E-2</v>
      </c>
      <c r="F14" s="19">
        <v>13</v>
      </c>
    </row>
    <row r="15" spans="1:17" x14ac:dyDescent="0.25">
      <c r="A15" s="19" t="s">
        <v>220</v>
      </c>
      <c r="B15" s="20">
        <f>'BUILDER FACT SHEET'!B41</f>
        <v>68600000</v>
      </c>
      <c r="C15" s="19">
        <f>'BUILDER FACT SHEET'!C41</f>
        <v>2</v>
      </c>
      <c r="D15" s="124">
        <f>C15/C65</f>
        <v>7.6335877862595417E-3</v>
      </c>
      <c r="E15" s="124">
        <f>B15/B65</f>
        <v>1.0852706734660912E-2</v>
      </c>
      <c r="F15" s="19">
        <v>14</v>
      </c>
    </row>
    <row r="16" spans="1:17" ht="15.75" thickBot="1" x14ac:dyDescent="0.3">
      <c r="A16" s="19" t="s">
        <v>141</v>
      </c>
      <c r="B16" s="20">
        <f>'BUILDER FACT SHEET'!B15</f>
        <v>60232486</v>
      </c>
      <c r="C16" s="19">
        <f>'BUILDER FACT SHEET'!C15</f>
        <v>3</v>
      </c>
      <c r="D16" s="124">
        <f>C16/C65</f>
        <v>1.1450381679389313E-2</v>
      </c>
      <c r="E16" s="124">
        <f>B16/B65</f>
        <v>9.528943242821707E-3</v>
      </c>
      <c r="F16" s="19">
        <v>15</v>
      </c>
    </row>
    <row r="17" spans="1:13" ht="16.5" thickBot="1" x14ac:dyDescent="0.3">
      <c r="A17" s="19" t="s">
        <v>45</v>
      </c>
      <c r="B17" s="20">
        <f>'BUILDER FACT SHEET'!B58</f>
        <v>50292000</v>
      </c>
      <c r="C17" s="19">
        <f>'BUILDER FACT SHEET'!C58</f>
        <v>1</v>
      </c>
      <c r="D17" s="124">
        <f>C17/C65</f>
        <v>3.8167938931297708E-3</v>
      </c>
      <c r="E17" s="124">
        <f>B17/B65</f>
        <v>7.9563312988275015E-3</v>
      </c>
      <c r="F17" s="19">
        <v>16</v>
      </c>
      <c r="H17" s="242" t="s">
        <v>358</v>
      </c>
      <c r="I17" s="243"/>
      <c r="J17" s="243"/>
      <c r="K17" s="243"/>
      <c r="L17" s="243"/>
      <c r="M17" s="244"/>
    </row>
    <row r="18" spans="1:13" x14ac:dyDescent="0.25">
      <c r="A18" s="19" t="s">
        <v>136</v>
      </c>
      <c r="B18" s="20">
        <f>'BUILDER FACT SHEET'!B55</f>
        <v>45027980</v>
      </c>
      <c r="C18" s="19">
        <f>'BUILDER FACT SHEET'!C55</f>
        <v>5</v>
      </c>
      <c r="D18" s="124">
        <f>C18/C65</f>
        <v>1.9083969465648856E-2</v>
      </c>
      <c r="E18" s="124">
        <f>B18/B65</f>
        <v>7.1235490057460181E-3</v>
      </c>
      <c r="F18" s="19">
        <v>17</v>
      </c>
      <c r="H18" s="183" t="s">
        <v>356</v>
      </c>
      <c r="I18" s="6"/>
      <c r="J18" s="7">
        <f>J13</f>
        <v>5167709540</v>
      </c>
      <c r="K18" s="6"/>
      <c r="L18" s="6"/>
      <c r="M18" s="26"/>
    </row>
    <row r="19" spans="1:13" x14ac:dyDescent="0.25">
      <c r="A19" s="19" t="s">
        <v>424</v>
      </c>
      <c r="B19" s="20">
        <f>'BUILDER FACT SHEET'!B31</f>
        <v>43792124</v>
      </c>
      <c r="C19" s="19">
        <f>'BUILDER FACT SHEET'!C31</f>
        <v>3</v>
      </c>
      <c r="D19" s="124">
        <f>C19/C65</f>
        <v>1.1450381679389313E-2</v>
      </c>
      <c r="E19" s="124">
        <f>B19/B65</f>
        <v>6.9280332224476056E-3</v>
      </c>
      <c r="F19" s="19">
        <v>18</v>
      </c>
      <c r="H19" s="25" t="s">
        <v>357</v>
      </c>
      <c r="I19" s="6"/>
      <c r="J19" s="7">
        <f>B65</f>
        <v>6321003753</v>
      </c>
      <c r="K19" s="6"/>
      <c r="L19" s="6"/>
      <c r="M19" s="26"/>
    </row>
    <row r="20" spans="1:13" x14ac:dyDescent="0.25">
      <c r="A20" s="19" t="s">
        <v>112</v>
      </c>
      <c r="B20" s="20">
        <f>'BUILDER FACT SHEET'!B20</f>
        <v>43099960</v>
      </c>
      <c r="C20" s="19">
        <f>'BUILDER FACT SHEET'!C20</f>
        <v>4</v>
      </c>
      <c r="D20" s="124">
        <f>C20/C65</f>
        <v>1.5267175572519083E-2</v>
      </c>
      <c r="E20" s="124">
        <f>B20/B65</f>
        <v>6.8185309935220977E-3</v>
      </c>
      <c r="F20" s="19">
        <v>19</v>
      </c>
      <c r="H20" s="25" t="s">
        <v>359</v>
      </c>
      <c r="I20" s="6"/>
      <c r="J20" s="18">
        <f>J18/J19</f>
        <v>0.81754571614474403</v>
      </c>
      <c r="K20" s="6"/>
      <c r="L20" s="6"/>
      <c r="M20" s="26"/>
    </row>
    <row r="21" spans="1:13" x14ac:dyDescent="0.25">
      <c r="A21" s="19" t="s">
        <v>134</v>
      </c>
      <c r="B21" s="20">
        <f>'BUILDER FACT SHEET'!B45</f>
        <v>42514691</v>
      </c>
      <c r="C21" s="19">
        <f>'BUILDER FACT SHEET'!C45</f>
        <v>3</v>
      </c>
      <c r="D21" s="124">
        <f>C21/C65</f>
        <v>1.1450381679389313E-2</v>
      </c>
      <c r="E21" s="124">
        <f>B21/B65</f>
        <v>6.7259398445732891E-3</v>
      </c>
      <c r="F21" s="19">
        <v>20</v>
      </c>
      <c r="H21" s="25"/>
      <c r="I21" s="6"/>
      <c r="J21" s="6"/>
      <c r="K21" s="6"/>
      <c r="L21" s="6"/>
      <c r="M21" s="26"/>
    </row>
    <row r="22" spans="1:13" x14ac:dyDescent="0.25">
      <c r="A22" s="19" t="s">
        <v>34</v>
      </c>
      <c r="B22" s="20">
        <f>'BUILDER FACT SHEET'!B26</f>
        <v>35787546</v>
      </c>
      <c r="C22" s="19">
        <f>'BUILDER FACT SHEET'!C26</f>
        <v>2</v>
      </c>
      <c r="D22" s="124">
        <f>C22/C65</f>
        <v>7.6335877862595417E-3</v>
      </c>
      <c r="E22" s="124">
        <f>B22/B65</f>
        <v>5.6616871937490839E-3</v>
      </c>
      <c r="F22" s="19">
        <v>21</v>
      </c>
      <c r="H22" s="183" t="s">
        <v>360</v>
      </c>
      <c r="I22" s="6"/>
      <c r="J22" s="7">
        <f>SUM(J3:J7)</f>
        <v>3732903079</v>
      </c>
      <c r="K22" s="6">
        <f>SUM(K3:K7)</f>
        <v>125</v>
      </c>
      <c r="L22" s="18">
        <f>K22/C65</f>
        <v>0.47709923664122139</v>
      </c>
      <c r="M22" s="29">
        <f>J22/J19</f>
        <v>0.59055542835713926</v>
      </c>
    </row>
    <row r="23" spans="1:13" x14ac:dyDescent="0.25">
      <c r="A23" s="19" t="s">
        <v>239</v>
      </c>
      <c r="B23" s="20">
        <f>'BUILDER FACT SHEET'!B23</f>
        <v>29811600</v>
      </c>
      <c r="C23" s="19">
        <f>'BUILDER FACT SHEET'!C23</f>
        <v>2</v>
      </c>
      <c r="D23" s="124">
        <f>C23/C65</f>
        <v>7.6335877862595417E-3</v>
      </c>
      <c r="E23" s="124">
        <f>B23/B65</f>
        <v>4.716276269548356E-3</v>
      </c>
      <c r="F23" s="19">
        <v>22</v>
      </c>
      <c r="H23" s="25"/>
      <c r="I23" s="6"/>
      <c r="J23" s="7"/>
      <c r="K23" s="6"/>
      <c r="L23" s="18"/>
      <c r="M23" s="29"/>
    </row>
    <row r="24" spans="1:13" x14ac:dyDescent="0.25">
      <c r="A24" s="19" t="s">
        <v>266</v>
      </c>
      <c r="B24" s="20">
        <f>'BUILDER FACT SHEET'!B52</f>
        <v>19539751</v>
      </c>
      <c r="C24" s="19">
        <f>'BUILDER FACT SHEET'!C52</f>
        <v>2</v>
      </c>
      <c r="D24" s="124">
        <f>C24/C65</f>
        <v>7.6335877862595417E-3</v>
      </c>
      <c r="E24" s="124">
        <f>B24/B65</f>
        <v>3.0912417969576863E-3</v>
      </c>
      <c r="F24" s="19">
        <v>23</v>
      </c>
      <c r="H24" s="183" t="s">
        <v>361</v>
      </c>
      <c r="I24" s="6"/>
      <c r="J24" s="7">
        <f>SUM(J3:J8)</f>
        <v>4097514015</v>
      </c>
      <c r="K24" s="6">
        <f>SUM(K3:K8)</f>
        <v>140</v>
      </c>
      <c r="L24" s="18">
        <f>K24/C65</f>
        <v>0.53435114503816794</v>
      </c>
      <c r="M24" s="29">
        <f>J24/J19</f>
        <v>0.64823787093233198</v>
      </c>
    </row>
    <row r="25" spans="1:13" x14ac:dyDescent="0.25">
      <c r="A25" s="19" t="s">
        <v>282</v>
      </c>
      <c r="B25" s="20">
        <f>'BUILDER FACT SHEET'!B40</f>
        <v>18944315</v>
      </c>
      <c r="C25" s="19">
        <f>'BUILDER FACT SHEET'!C40</f>
        <v>2</v>
      </c>
      <c r="D25" s="124">
        <f>C25/C65</f>
        <v>7.6335877862595417E-3</v>
      </c>
      <c r="E25" s="124">
        <f>B25/B65</f>
        <v>2.9970422009334948E-3</v>
      </c>
      <c r="F25" s="19">
        <v>24</v>
      </c>
      <c r="H25" s="183" t="s">
        <v>362</v>
      </c>
      <c r="I25" s="6"/>
      <c r="J25" s="7">
        <f>SUM(J3:J9)</f>
        <v>4430114249</v>
      </c>
      <c r="K25" s="6">
        <f>SUM(K3:K9)</f>
        <v>150</v>
      </c>
      <c r="L25" s="18">
        <f>K25/C65</f>
        <v>0.5725190839694656</v>
      </c>
      <c r="M25" s="29">
        <f>J25/J19</f>
        <v>0.70085613331544561</v>
      </c>
    </row>
    <row r="26" spans="1:13" ht="15.75" thickBot="1" x14ac:dyDescent="0.3">
      <c r="A26" s="19" t="s">
        <v>110</v>
      </c>
      <c r="B26" s="20">
        <f>'BUILDER FACT SHEET'!B56</f>
        <v>18761000</v>
      </c>
      <c r="C26" s="19">
        <f>'BUILDER FACT SHEET'!C56</f>
        <v>2</v>
      </c>
      <c r="D26" s="124">
        <f>C26/C65</f>
        <v>7.6335877862595417E-3</v>
      </c>
      <c r="E26" s="124">
        <f>B26/B65</f>
        <v>2.9680412689354718E-3</v>
      </c>
      <c r="F26" s="19">
        <v>25</v>
      </c>
      <c r="H26" s="198"/>
      <c r="I26" s="199"/>
      <c r="J26" s="200"/>
      <c r="K26" s="199"/>
      <c r="L26" s="201"/>
      <c r="M26" s="202"/>
    </row>
    <row r="27" spans="1:13" x14ac:dyDescent="0.25">
      <c r="A27" s="19" t="s">
        <v>125</v>
      </c>
      <c r="B27" s="20">
        <f>'BUILDER FACT SHEET'!B50</f>
        <v>18659470</v>
      </c>
      <c r="C27" s="19">
        <f>'BUILDER FACT SHEET'!C50</f>
        <v>2</v>
      </c>
      <c r="D27" s="124">
        <f>C27/C65</f>
        <v>7.6335877862595417E-3</v>
      </c>
      <c r="E27" s="124">
        <f>B27/B65</f>
        <v>2.9519789465627297E-3</v>
      </c>
      <c r="F27" s="19">
        <v>26</v>
      </c>
    </row>
    <row r="28" spans="1:13" x14ac:dyDescent="0.25">
      <c r="A28" s="19" t="s">
        <v>77</v>
      </c>
      <c r="B28" s="20">
        <f>'BUILDER FACT SHEET'!B12</f>
        <v>16519000</v>
      </c>
      <c r="C28" s="19">
        <f>'BUILDER FACT SHEET'!C12</f>
        <v>1</v>
      </c>
      <c r="D28" s="124">
        <f>C28/C65</f>
        <v>3.8167938931297708E-3</v>
      </c>
      <c r="E28" s="124">
        <f>B28/B65</f>
        <v>2.613350766032997E-3</v>
      </c>
      <c r="F28" s="19">
        <v>27</v>
      </c>
    </row>
    <row r="29" spans="1:13" x14ac:dyDescent="0.25">
      <c r="A29" s="19" t="s">
        <v>215</v>
      </c>
      <c r="B29" s="20">
        <f>'BUILDER FACT SHEET'!B29</f>
        <v>16508000</v>
      </c>
      <c r="C29" s="19">
        <f>'BUILDER FACT SHEET'!C29</f>
        <v>1</v>
      </c>
      <c r="D29" s="124">
        <f>C29/C65</f>
        <v>3.8167938931297708E-3</v>
      </c>
      <c r="E29" s="124">
        <f>B29/B65</f>
        <v>2.6116105360901214E-3</v>
      </c>
      <c r="F29" s="19">
        <v>28</v>
      </c>
    </row>
    <row r="30" spans="1:13" x14ac:dyDescent="0.25">
      <c r="A30" s="19" t="s">
        <v>42</v>
      </c>
      <c r="B30" s="20">
        <f>'BUILDER FACT SHEET'!B9</f>
        <v>15056821</v>
      </c>
      <c r="C30" s="19">
        <f>'BUILDER FACT SHEET'!C9</f>
        <v>1</v>
      </c>
      <c r="D30" s="124">
        <f>C30/C65</f>
        <v>3.8167938931297708E-3</v>
      </c>
      <c r="E30" s="124">
        <f>B30/B65</f>
        <v>2.3820300680653622E-3</v>
      </c>
      <c r="F30" s="19">
        <v>29</v>
      </c>
      <c r="H30" s="1"/>
    </row>
    <row r="31" spans="1:13" x14ac:dyDescent="0.25">
      <c r="A31" s="19" t="s">
        <v>392</v>
      </c>
      <c r="B31" s="20">
        <f>'BUILDER FACT SHEET'!B39</f>
        <v>14713173</v>
      </c>
      <c r="C31" s="19">
        <f>'BUILDER FACT SHEET'!C39</f>
        <v>1</v>
      </c>
      <c r="D31" s="124">
        <f>'BUILDER FACT SHEET'!D39</f>
        <v>3.8167938931297708E-3</v>
      </c>
      <c r="E31" s="124">
        <f>B31/B65</f>
        <v>2.3276640190281503E-3</v>
      </c>
      <c r="F31" s="19">
        <v>30</v>
      </c>
      <c r="H31" s="16"/>
    </row>
    <row r="32" spans="1:13" x14ac:dyDescent="0.25">
      <c r="A32" s="19" t="s">
        <v>150</v>
      </c>
      <c r="B32" s="20">
        <f>'BUILDER FACT SHEET'!B38</f>
        <v>14261497</v>
      </c>
      <c r="C32" s="19">
        <f>'BUILDER FACT SHEET'!C38</f>
        <v>2</v>
      </c>
      <c r="D32" s="124">
        <f>C32/C65</f>
        <v>7.6335877862595417E-3</v>
      </c>
      <c r="E32" s="124">
        <f>B32/B65</f>
        <v>2.2562076463301223E-3</v>
      </c>
      <c r="F32" s="19">
        <v>31</v>
      </c>
    </row>
    <row r="33" spans="1:6" x14ac:dyDescent="0.25">
      <c r="A33" s="19" t="s">
        <v>218</v>
      </c>
      <c r="B33" s="20">
        <f>'BUILDER FACT SHEET'!B11</f>
        <v>14000000</v>
      </c>
      <c r="C33" s="19">
        <f>'BUILDER FACT SHEET'!C11</f>
        <v>1</v>
      </c>
      <c r="D33" s="124">
        <f>C33/C65</f>
        <v>3.8167938931297708E-3</v>
      </c>
      <c r="E33" s="124">
        <f>B33/B65</f>
        <v>2.214838109114472E-3</v>
      </c>
      <c r="F33" s="19">
        <v>32</v>
      </c>
    </row>
    <row r="34" spans="1:6" x14ac:dyDescent="0.25">
      <c r="A34" s="19" t="s">
        <v>81</v>
      </c>
      <c r="B34" s="20">
        <f>'BUILDER FACT SHEET'!B18</f>
        <v>12325000</v>
      </c>
      <c r="C34" s="19">
        <f>'BUILDER FACT SHEET'!C18</f>
        <v>1</v>
      </c>
      <c r="D34" s="124">
        <f>C34/C65</f>
        <v>3.8167938931297708E-3</v>
      </c>
      <c r="E34" s="124">
        <f>B34/B65</f>
        <v>1.9498485496311333E-3</v>
      </c>
      <c r="F34" s="19">
        <v>33</v>
      </c>
    </row>
    <row r="35" spans="1:6" x14ac:dyDescent="0.25">
      <c r="A35" s="19" t="s">
        <v>160</v>
      </c>
      <c r="B35" s="20">
        <f>'BUILDER FACT SHEET'!B19</f>
        <v>12151720</v>
      </c>
      <c r="C35" s="19">
        <f>'BUILDER FACT SHEET'!C19</f>
        <v>2</v>
      </c>
      <c r="D35" s="124">
        <f>C35/C65</f>
        <v>7.6335877862595417E-3</v>
      </c>
      <c r="E35" s="124">
        <f>B35/B65</f>
        <v>1.9224351819491794E-3</v>
      </c>
      <c r="F35" s="19">
        <v>34</v>
      </c>
    </row>
    <row r="36" spans="1:6" x14ac:dyDescent="0.25">
      <c r="A36" s="19" t="s">
        <v>388</v>
      </c>
      <c r="B36" s="20">
        <f>'BUILDER FACT SHEET'!B34</f>
        <v>12136212</v>
      </c>
      <c r="C36" s="19">
        <f>'BUILDER FACT SHEET'!C34</f>
        <v>1</v>
      </c>
      <c r="D36" s="124">
        <f>'BUILDER FACT SHEET'!D34</f>
        <v>3.8167938931297708E-3</v>
      </c>
      <c r="E36" s="124">
        <f>B36/B65</f>
        <v>1.9199817741351688E-3</v>
      </c>
      <c r="F36" s="19">
        <v>35</v>
      </c>
    </row>
    <row r="37" spans="1:6" x14ac:dyDescent="0.25">
      <c r="A37" s="19" t="s">
        <v>39</v>
      </c>
      <c r="B37" s="20">
        <f>'BUILDER FACT SHEET'!B16</f>
        <v>12080000</v>
      </c>
      <c r="C37" s="19">
        <f>'BUILDER FACT SHEET'!C16</f>
        <v>1</v>
      </c>
      <c r="D37" s="124">
        <f>C37/C65</f>
        <v>3.8167938931297708E-3</v>
      </c>
      <c r="E37" s="124">
        <f>B37/B65</f>
        <v>1.91108888272163E-3</v>
      </c>
      <c r="F37" s="19">
        <v>36</v>
      </c>
    </row>
    <row r="38" spans="1:6" x14ac:dyDescent="0.25">
      <c r="A38" s="19" t="s">
        <v>380</v>
      </c>
      <c r="B38" s="20">
        <f>'BUILDER FACT SHEET'!B32</f>
        <v>11729047</v>
      </c>
      <c r="C38" s="19">
        <f>'BUILDER FACT SHEET'!C32</f>
        <v>1</v>
      </c>
      <c r="D38" s="124">
        <f>C38/C65</f>
        <v>3.8167938931297708E-3</v>
      </c>
      <c r="E38" s="124">
        <f>B38/B65</f>
        <v>1.8555671627996262E-3</v>
      </c>
      <c r="F38" s="19">
        <v>37</v>
      </c>
    </row>
    <row r="39" spans="1:6" x14ac:dyDescent="0.25">
      <c r="A39" s="19" t="s">
        <v>208</v>
      </c>
      <c r="B39" s="20">
        <f>'BUILDER FACT SHEET'!B4</f>
        <v>11559955</v>
      </c>
      <c r="C39" s="19">
        <f>'BUILDER FACT SHEET'!C4</f>
        <v>1</v>
      </c>
      <c r="D39" s="124">
        <f>C39/C65</f>
        <v>3.8167938931297708E-3</v>
      </c>
      <c r="E39" s="124">
        <f>B39/B65</f>
        <v>1.8288163481177417E-3</v>
      </c>
      <c r="F39" s="19">
        <v>38</v>
      </c>
    </row>
    <row r="40" spans="1:6" x14ac:dyDescent="0.25">
      <c r="A40" s="19" t="s">
        <v>127</v>
      </c>
      <c r="B40" s="20">
        <f>'BUILDER FACT SHEET'!B2</f>
        <v>11146300</v>
      </c>
      <c r="C40" s="19">
        <f>'BUILDER FACT SHEET'!C2</f>
        <v>1</v>
      </c>
      <c r="D40" s="124">
        <f>C40/C65</f>
        <v>3.8167938931297708E-3</v>
      </c>
      <c r="E40" s="124">
        <f>B40/B65</f>
        <v>1.7633750011159027E-3</v>
      </c>
      <c r="F40" s="19">
        <v>39</v>
      </c>
    </row>
    <row r="41" spans="1:6" x14ac:dyDescent="0.25">
      <c r="A41" s="19" t="s">
        <v>171</v>
      </c>
      <c r="B41" s="20">
        <f>'BUILDER FACT SHEET'!B13</f>
        <v>10833637</v>
      </c>
      <c r="C41" s="19">
        <f>'BUILDER FACT SHEET'!C13</f>
        <v>1</v>
      </c>
      <c r="D41" s="124">
        <f>C41/C65</f>
        <v>3.8167938931297708E-3</v>
      </c>
      <c r="E41" s="124">
        <f>B41/B65</f>
        <v>1.713910863422327E-3</v>
      </c>
      <c r="F41" s="19">
        <v>40</v>
      </c>
    </row>
    <row r="42" spans="1:6" x14ac:dyDescent="0.25">
      <c r="A42" s="19" t="s">
        <v>173</v>
      </c>
      <c r="B42" s="20">
        <f>'BUILDER FACT SHEET'!B48</f>
        <v>10413942</v>
      </c>
      <c r="C42" s="19">
        <f>'BUILDER FACT SHEET'!C48</f>
        <v>1</v>
      </c>
      <c r="D42" s="124">
        <f>C42/C65</f>
        <v>3.8167938931297708E-3</v>
      </c>
      <c r="E42" s="124">
        <f>B42/B65</f>
        <v>1.6475139719791271E-3</v>
      </c>
      <c r="F42" s="19">
        <v>41</v>
      </c>
    </row>
    <row r="43" spans="1:6" x14ac:dyDescent="0.25">
      <c r="A43" s="19" t="s">
        <v>21</v>
      </c>
      <c r="B43" s="20">
        <f>'BUILDER FACT SHEET'!B17</f>
        <v>9500000</v>
      </c>
      <c r="C43" s="19">
        <f>'BUILDER FACT SHEET'!C17</f>
        <v>1</v>
      </c>
      <c r="D43" s="124">
        <f>C43/C65</f>
        <v>3.8167938931297708E-3</v>
      </c>
      <c r="E43" s="124">
        <f>B43/B65</f>
        <v>1.5029258597562488E-3</v>
      </c>
      <c r="F43" s="19">
        <v>42</v>
      </c>
    </row>
    <row r="44" spans="1:6" x14ac:dyDescent="0.25">
      <c r="A44" s="19" t="s">
        <v>185</v>
      </c>
      <c r="B44" s="20">
        <f>'BUILDER FACT SHEET'!B46</f>
        <v>8080574</v>
      </c>
      <c r="C44" s="19">
        <f>'BUILDER FACT SHEET'!C46</f>
        <v>1</v>
      </c>
      <c r="D44" s="124">
        <f>C44/C65</f>
        <v>3.8167938931297708E-3</v>
      </c>
      <c r="E44" s="124">
        <f>B44/B65</f>
        <v>1.2783688027656831E-3</v>
      </c>
      <c r="F44" s="19">
        <v>43</v>
      </c>
    </row>
    <row r="45" spans="1:6" x14ac:dyDescent="0.25">
      <c r="A45" s="19" t="s">
        <v>83</v>
      </c>
      <c r="B45" s="20">
        <f>'BUILDER FACT SHEET'!B30</f>
        <v>7933000</v>
      </c>
      <c r="C45" s="19">
        <f>'BUILDER FACT SHEET'!C30</f>
        <v>1</v>
      </c>
      <c r="D45" s="124">
        <f>C45/C65</f>
        <v>3.8167938931297708E-3</v>
      </c>
      <c r="E45" s="124">
        <f>B45/B65</f>
        <v>1.2550221942575076E-3</v>
      </c>
      <c r="F45" s="19">
        <v>44</v>
      </c>
    </row>
    <row r="46" spans="1:6" x14ac:dyDescent="0.25">
      <c r="A46" s="19" t="s">
        <v>64</v>
      </c>
      <c r="B46" s="20">
        <f>'BUILDER FACT SHEET'!B36</f>
        <v>7698400</v>
      </c>
      <c r="C46" s="19">
        <f>'BUILDER FACT SHEET'!C36</f>
        <v>1</v>
      </c>
      <c r="D46" s="124">
        <f>C46/C65</f>
        <v>3.8167938931297708E-3</v>
      </c>
      <c r="E46" s="124">
        <f>B46/B65</f>
        <v>1.2179078356576321E-3</v>
      </c>
      <c r="F46" s="19">
        <v>45</v>
      </c>
    </row>
    <row r="47" spans="1:6" x14ac:dyDescent="0.25">
      <c r="A47" s="19" t="s">
        <v>164</v>
      </c>
      <c r="B47" s="20">
        <f>'BUILDER FACT SHEET'!B53</f>
        <v>7542100</v>
      </c>
      <c r="C47" s="19">
        <f>'BUILDER FACT SHEET'!C53</f>
        <v>1</v>
      </c>
      <c r="D47" s="124">
        <f>C47/C65</f>
        <v>3.8167938931297708E-3</v>
      </c>
      <c r="E47" s="124">
        <f>B47/B65</f>
        <v>1.1931807501965898E-3</v>
      </c>
      <c r="F47" s="19">
        <v>46</v>
      </c>
    </row>
    <row r="48" spans="1:6" x14ac:dyDescent="0.25">
      <c r="A48" s="19" t="s">
        <v>437</v>
      </c>
      <c r="B48" s="20">
        <f>'BUILDER FACT SHEET'!B22</f>
        <v>7285505</v>
      </c>
      <c r="C48" s="19">
        <f>'BUILDER FACT SHEET'!C22</f>
        <v>1</v>
      </c>
      <c r="D48" s="124">
        <f>C48/C65</f>
        <v>3.8167938931297708E-3</v>
      </c>
      <c r="E48" s="124">
        <f>B48/B65</f>
        <v>1.1525867227245735E-3</v>
      </c>
      <c r="F48" s="19">
        <v>47</v>
      </c>
    </row>
    <row r="49" spans="1:6" x14ac:dyDescent="0.25">
      <c r="A49" s="19" t="s">
        <v>196</v>
      </c>
      <c r="B49" s="20">
        <f>'BUILDER FACT SHEET'!B7</f>
        <v>7052618</v>
      </c>
      <c r="C49" s="19">
        <f>'BUILDER FACT SHEET'!C7</f>
        <v>1</v>
      </c>
      <c r="D49" s="124">
        <f>C49/C65</f>
        <v>3.8167938931297708E-3</v>
      </c>
      <c r="E49" s="124">
        <f>B49/B65</f>
        <v>1.1157433653876205E-3</v>
      </c>
      <c r="F49" s="19">
        <v>48</v>
      </c>
    </row>
    <row r="50" spans="1:6" x14ac:dyDescent="0.25">
      <c r="A50" s="19" t="s">
        <v>79</v>
      </c>
      <c r="B50" s="20">
        <f>'BUILDER FACT SHEET'!B10</f>
        <v>6905660</v>
      </c>
      <c r="C50" s="19">
        <f>'BUILDER FACT SHEET'!C10</f>
        <v>1</v>
      </c>
      <c r="D50" s="124">
        <f>C50/C65</f>
        <v>3.8167938931297708E-3</v>
      </c>
      <c r="E50" s="124">
        <f>B50/B65</f>
        <v>1.0924942097562461E-3</v>
      </c>
      <c r="F50" s="19">
        <v>49</v>
      </c>
    </row>
    <row r="51" spans="1:6" x14ac:dyDescent="0.25">
      <c r="A51" s="19" t="s">
        <v>27</v>
      </c>
      <c r="B51" s="20">
        <f>'BUILDER FACT SHEET'!B33</f>
        <v>6877000</v>
      </c>
      <c r="C51" s="19">
        <f>'BUILDER FACT SHEET'!C33</f>
        <v>1</v>
      </c>
      <c r="D51" s="124">
        <f>C51/C65</f>
        <v>3.8167938931297708E-3</v>
      </c>
      <c r="E51" s="124">
        <f>B51/B65</f>
        <v>1.0879601197414444E-3</v>
      </c>
      <c r="F51" s="19">
        <v>50</v>
      </c>
    </row>
    <row r="52" spans="1:6" x14ac:dyDescent="0.25">
      <c r="A52" s="19" t="s">
        <v>103</v>
      </c>
      <c r="B52" s="20">
        <f>'BUILDER FACT SHEET'!B43</f>
        <v>6592833</v>
      </c>
      <c r="C52" s="19">
        <f>'BUILDER FACT SHEET'!C43</f>
        <v>1</v>
      </c>
      <c r="D52" s="124">
        <f>C52/C65</f>
        <v>3.8167938931297708E-3</v>
      </c>
      <c r="E52" s="124">
        <f>B52/B65</f>
        <v>1.0430041268162493E-3</v>
      </c>
      <c r="F52" s="19">
        <v>51</v>
      </c>
    </row>
    <row r="53" spans="1:6" x14ac:dyDescent="0.25">
      <c r="A53" s="19" t="s">
        <v>85</v>
      </c>
      <c r="B53" s="20">
        <f>'BUILDER FACT SHEET'!B24</f>
        <v>6556593</v>
      </c>
      <c r="C53" s="19">
        <f>'BUILDER FACT SHEET'!C24</f>
        <v>1</v>
      </c>
      <c r="D53" s="124">
        <f>C53/C65</f>
        <v>3.8167938931297708E-3</v>
      </c>
      <c r="E53" s="124">
        <f>B53/B65</f>
        <v>1.0372708601680844E-3</v>
      </c>
      <c r="F53" s="19">
        <v>52</v>
      </c>
    </row>
    <row r="54" spans="1:6" x14ac:dyDescent="0.25">
      <c r="A54" s="19" t="s">
        <v>430</v>
      </c>
      <c r="B54" s="20">
        <f>'BUILDER FACT SHEET'!B47</f>
        <v>6518658</v>
      </c>
      <c r="C54" s="19">
        <f>'BUILDER FACT SHEET'!C47</f>
        <v>1</v>
      </c>
      <c r="D54" s="124">
        <f>C54/C65</f>
        <v>3.8167938931297708E-3</v>
      </c>
      <c r="E54" s="124">
        <f>B54/B65</f>
        <v>1.0312694399059947E-3</v>
      </c>
      <c r="F54" s="19">
        <v>53</v>
      </c>
    </row>
    <row r="55" spans="1:6" x14ac:dyDescent="0.25">
      <c r="A55" s="19" t="s">
        <v>115</v>
      </c>
      <c r="B55" s="20">
        <f>'BUILDER FACT SHEET'!B44</f>
        <v>6424000</v>
      </c>
      <c r="C55" s="19">
        <f>'BUILDER FACT SHEET'!C44</f>
        <v>1</v>
      </c>
      <c r="D55" s="124">
        <f>C55/C65</f>
        <v>3.8167938931297708E-3</v>
      </c>
      <c r="E55" s="124">
        <f>B55/B65</f>
        <v>1.0162942866393833E-3</v>
      </c>
      <c r="F55" s="19">
        <v>54</v>
      </c>
    </row>
    <row r="56" spans="1:6" x14ac:dyDescent="0.25">
      <c r="A56" s="19" t="s">
        <v>428</v>
      </c>
      <c r="B56" s="20">
        <f>'BUILDER FACT SHEET'!B3</f>
        <v>6042602</v>
      </c>
      <c r="C56" s="19">
        <f>'BUILDER FACT SHEET'!C3</f>
        <v>1</v>
      </c>
      <c r="D56" s="124">
        <f>C56/C65</f>
        <v>3.8167938931297708E-3</v>
      </c>
      <c r="E56" s="124">
        <f>B56/B65</f>
        <v>9.5595608484366616E-4</v>
      </c>
      <c r="F56" s="19">
        <v>55</v>
      </c>
    </row>
    <row r="57" spans="1:6" x14ac:dyDescent="0.25">
      <c r="A57" s="19" t="s">
        <v>67</v>
      </c>
      <c r="B57" s="20">
        <f>'BUILDER FACT SHEET'!B25</f>
        <v>5869548</v>
      </c>
      <c r="C57" s="19">
        <f>'BUILDER FACT SHEET'!C25</f>
        <v>1</v>
      </c>
      <c r="D57" s="124">
        <f>C57/C65</f>
        <v>3.8167938931297708E-3</v>
      </c>
      <c r="E57" s="124">
        <f>B57/B65</f>
        <v>9.2857847097690212E-4</v>
      </c>
      <c r="F57" s="19">
        <v>56</v>
      </c>
    </row>
    <row r="58" spans="1:6" x14ac:dyDescent="0.25">
      <c r="A58" s="19" t="s">
        <v>29</v>
      </c>
      <c r="B58" s="20">
        <f>'BUILDER FACT SHEET'!B57</f>
        <v>5825000</v>
      </c>
      <c r="C58" s="19">
        <f>'BUILDER FACT SHEET'!C57</f>
        <v>1</v>
      </c>
      <c r="D58" s="124">
        <f>C58/C65</f>
        <v>3.8167938931297708E-3</v>
      </c>
      <c r="E58" s="124">
        <f>B58/B65</f>
        <v>9.2153085611369984E-4</v>
      </c>
      <c r="F58" s="19">
        <v>57</v>
      </c>
    </row>
    <row r="59" spans="1:6" x14ac:dyDescent="0.25">
      <c r="A59" s="19" t="s">
        <v>166</v>
      </c>
      <c r="B59" s="20">
        <f>'BUILDER FACT SHEET'!B37</f>
        <v>5775000</v>
      </c>
      <c r="C59" s="19">
        <f>'BUILDER FACT SHEET'!C37</f>
        <v>1</v>
      </c>
      <c r="D59" s="124">
        <f>C59/C65</f>
        <v>3.8167938931297708E-3</v>
      </c>
      <c r="E59" s="124">
        <f>B59/B65</f>
        <v>9.1362072000971968E-4</v>
      </c>
      <c r="F59" s="19">
        <v>58</v>
      </c>
    </row>
    <row r="60" spans="1:6" x14ac:dyDescent="0.25">
      <c r="A60" s="19" t="s">
        <v>420</v>
      </c>
      <c r="B60" s="20">
        <f>'BUILDER FACT SHEET'!B61</f>
        <v>5550474</v>
      </c>
      <c r="C60" s="19">
        <f>'BUILDER FACT SHEET'!C61</f>
        <v>1</v>
      </c>
      <c r="D60" s="124">
        <f>C60/C65</f>
        <v>3.8167938931297708E-3</v>
      </c>
      <c r="E60" s="124">
        <f>B60/B65</f>
        <v>8.7810009563207424E-4</v>
      </c>
      <c r="F60" s="19">
        <v>59</v>
      </c>
    </row>
    <row r="61" spans="1:6" x14ac:dyDescent="0.25">
      <c r="A61" s="19" t="s">
        <v>445</v>
      </c>
      <c r="B61" s="20">
        <f>'BUILDER FACT SHEET'!B54</f>
        <v>5489874</v>
      </c>
      <c r="C61" s="19">
        <f>'BUILDER FACT SHEET'!C54</f>
        <v>1</v>
      </c>
      <c r="D61" s="124">
        <f>C61/C65</f>
        <v>3.8167938931297708E-3</v>
      </c>
      <c r="E61" s="124">
        <f>B61/B65</f>
        <v>8.6851301067405009E-4</v>
      </c>
      <c r="F61" s="19">
        <v>60</v>
      </c>
    </row>
    <row r="62" spans="1:6" x14ac:dyDescent="0.25">
      <c r="A62" s="19" t="s">
        <v>88</v>
      </c>
      <c r="B62" s="20">
        <f>'BUILDER FACT SHEET'!B60</f>
        <v>5192800</v>
      </c>
      <c r="C62" s="19">
        <f>'BUILDER FACT SHEET'!C60</f>
        <v>1</v>
      </c>
      <c r="D62" s="124">
        <f>C62/C65</f>
        <v>3.8167938931297708E-3</v>
      </c>
      <c r="E62" s="124">
        <f>B62/B65</f>
        <v>8.2151509521497348E-4</v>
      </c>
      <c r="F62" s="19">
        <v>61</v>
      </c>
    </row>
    <row r="65" spans="1:5" x14ac:dyDescent="0.25">
      <c r="A65" s="132" t="s">
        <v>349</v>
      </c>
      <c r="B65" s="133">
        <f>SUM(B2:B64)</f>
        <v>6321003753</v>
      </c>
      <c r="C65" s="132">
        <f>SUM(C2:C64)</f>
        <v>262</v>
      </c>
      <c r="D65" s="134">
        <f>SUM(D2:D64)</f>
        <v>0.99999999999999833</v>
      </c>
      <c r="E65" s="134">
        <f>SUM(E2:E64)</f>
        <v>1</v>
      </c>
    </row>
  </sheetData>
  <sortState ref="A2:E62">
    <sortCondition descending="1" ref="B2:B62"/>
  </sortState>
  <mergeCells count="2">
    <mergeCell ref="H1:M1"/>
    <mergeCell ref="H17:M17"/>
  </mergeCells>
  <pageMargins left="0.25" right="0.25" top="0.75" bottom="0.75" header="0.3" footer="0.3"/>
  <pageSetup paperSize="5" scale="76" fitToHeight="0" orientation="landscape" r:id="rId1"/>
  <headerFooter>
    <oddHeader>&amp;C&amp;"-,Bold"&amp;12BUILDER RANKINGS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MASTER LIST OF PROJECTS</vt:lpstr>
      <vt:lpstr>FORMER DATA vs. NEW DATA</vt:lpstr>
      <vt:lpstr>YEAR TOTALS (O.M.% &amp; $)</vt:lpstr>
      <vt:lpstr>COLLEGE TOTALS</vt:lpstr>
      <vt:lpstr>COLLEGE PROJECTS BY YEAR</vt:lpstr>
      <vt:lpstr>BUILDER FACT SHEET</vt:lpstr>
      <vt:lpstr>BUILDER RANKINGS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Zach Lokey</dc:creator>
  <cp:lastModifiedBy>Tony Biller</cp:lastModifiedBy>
  <cp:lastPrinted>2023-07-05T19:38:53Z</cp:lastPrinted>
  <dcterms:created xsi:type="dcterms:W3CDTF">2017-12-04T14:17:41Z</dcterms:created>
  <dcterms:modified xsi:type="dcterms:W3CDTF">2023-07-20T16:46:22Z</dcterms:modified>
</cp:coreProperties>
</file>